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harts/chart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https://portlandoregongov-my.sharepoint.com/personal/kyle_diesner_portlandoregon_gov/Documents/Desktop/"/>
    </mc:Choice>
  </mc:AlternateContent>
  <xr:revisionPtr revIDLastSave="84" documentId="8_{863DE11F-1650-487B-8CA3-DD0A87096E50}" xr6:coauthVersionLast="47" xr6:coauthVersionMax="47" xr10:uidLastSave="{D61978A4-1A30-4454-AD46-5E455E0277A8}"/>
  <workbookProtection workbookAlgorithmName="SHA-512" workbookHashValue="+/U9YiVUNbqMuMiwbwCX/32e0HKwTqO+pQopFLl6TiFbXJYQOE+hVXEIG3VMxxCVKHCbAghsJX36sPPlGQ9VnQ==" workbookSaltValue="/SEtdYnsk+L6qB5ed/fncA==" workbookSpinCount="100000" lockStructure="1"/>
  <bookViews>
    <workbookView xWindow="-120" yWindow="-120" windowWidth="29040" windowHeight="15840" xr2:uid="{3F77E9E9-25C5-094A-962B-F6AB721BDC92}"/>
  </bookViews>
  <sheets>
    <sheet name="Introduction" sheetId="55" r:id="rId1"/>
    <sheet name="Buildings Data" sheetId="53" r:id="rId2"/>
    <sheet name="Transport Data" sheetId="40" r:id="rId3"/>
    <sheet name="Dashboard - CEW Scenario" sheetId="61" r:id="rId4"/>
    <sheet name="CEW Calculations" sheetId="62" r:id="rId5"/>
    <sheet name="Forest C-Storage Data" sheetId="11" r:id="rId6"/>
    <sheet name="Portland_GHGs_1990-2017" sheetId="15" r:id="rId7"/>
    <sheet name="2030 Goal Calculation" sheetId="34" r:id="rId8"/>
    <sheet name="Talking Point Statistics" sheetId="54" state="hidden" r:id="rId9"/>
    <sheet name="A2030 Emissions Data" sheetId="58" state="hidden" r:id="rId10"/>
    <sheet name="Industrial RPS RNG" sheetId="51" r:id="rId11"/>
    <sheet name="Porttland Grid Mix+GHG Factors" sheetId="21" state="hidden" r:id="rId12"/>
  </sheets>
  <externalReferences>
    <externalReference r:id="rId13"/>
    <externalReference r:id="rId14"/>
    <externalReference r:id="rId15"/>
    <externalReference r:id="rId16"/>
    <externalReference r:id="rId17"/>
  </externalReferences>
  <definedNames>
    <definedName name="annex171">[1]Annex171!$CJ$5:$CP$298</definedName>
    <definedName name="annex172">[1]Annex172!$CK$5:$CQ$286</definedName>
    <definedName name="annex173">[1]Annex173!$CD$5:$CJ$285</definedName>
    <definedName name="Annex174_adj">[1]Annex174adj!$CB$5:$CH$286</definedName>
    <definedName name="CECO_Elec_Cumulative">'[2]C&amp;I BLDG Performance'!$B$101:$BJ$101</definedName>
    <definedName name="CECO_Gas_Cumulative">'[2]C&amp;I BLDG Performance'!$B$109:$BJ$109</definedName>
    <definedName name="citysplits10">'[3]cert2010 cityest'!$A$248:$R$271</definedName>
    <definedName name="ES_Comm_Elec_Cumulative_Savings">'[2]EnergySmart - Commercial'!$B$33:$BJ$33</definedName>
    <definedName name="ES_Comm_Gas_Cumulative_Savings">'[2]EnergySmart - Commercial'!$B$34:$BJ$34</definedName>
    <definedName name="kWhtoCO2">'[4]&lt;50K EUI Targets SFR'!$B$170</definedName>
    <definedName name="list_zerotool">'[5]Space Type Matching'!$I$2:$I$82</definedName>
    <definedName name="_xlnm.Print_Area" localSheetId="6">'Portland_GHGs_1990-2017'!$A$1:$X$56</definedName>
    <definedName name="SR_Elec_Cumulative_Savings">[2]SmartRegs!$B$35:$BJ$35</definedName>
    <definedName name="SR_Gas_Cumulative_Savings">[2]SmartRegs!$B$36:$BJ$36</definedName>
    <definedName name="thermtoCO2">'[4]&lt;50K EUI Targets SFR'!$B$171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39" i="62" l="1"/>
  <c r="P41" i="62"/>
  <c r="P40" i="62"/>
  <c r="P39" i="62"/>
  <c r="P36" i="62"/>
  <c r="P35" i="62"/>
  <c r="P34" i="62"/>
  <c r="P33" i="62"/>
  <c r="P29" i="62"/>
  <c r="H3" i="62"/>
  <c r="AB17" i="62" s="1"/>
  <c r="AC17" i="62" s="1"/>
  <c r="AB18" i="62" l="1"/>
  <c r="AC18" i="62" s="1"/>
  <c r="AB24" i="62"/>
  <c r="AC24" i="62" s="1"/>
  <c r="AB19" i="62"/>
  <c r="AC19" i="62" s="1"/>
  <c r="AB20" i="62"/>
  <c r="AC20" i="62" s="1"/>
  <c r="AB16" i="62"/>
  <c r="AC16" i="62" s="1"/>
  <c r="AC14" i="62" l="1"/>
  <c r="AG9" i="62" l="1"/>
  <c r="AG8" i="62"/>
  <c r="R6" i="62"/>
  <c r="R5" i="62"/>
  <c r="H17" i="62"/>
  <c r="H15" i="62"/>
  <c r="H12" i="62"/>
  <c r="H11" i="62"/>
  <c r="S12" i="62" l="1"/>
  <c r="T12" i="62" s="1"/>
  <c r="P38" i="62"/>
  <c r="P42" i="62" s="1"/>
  <c r="AG7" i="62" l="1"/>
  <c r="W8" i="62"/>
  <c r="W7" i="62"/>
  <c r="O11" i="62"/>
  <c r="O7" i="62"/>
  <c r="T13" i="62"/>
  <c r="L17" i="62"/>
  <c r="H7" i="62"/>
  <c r="H6" i="62"/>
  <c r="H5" i="62"/>
  <c r="AB22" i="62" l="1"/>
  <c r="AC22" i="62" s="1"/>
  <c r="P28" i="62"/>
  <c r="AB23" i="62"/>
  <c r="AC23" i="62" s="1"/>
  <c r="P32" i="62"/>
  <c r="AB14" i="62"/>
  <c r="H8" i="62"/>
  <c r="P27" i="62" s="1"/>
  <c r="O9" i="62"/>
  <c r="O17" i="62" s="1"/>
  <c r="H13" i="62"/>
  <c r="L19" i="62"/>
  <c r="L20" i="62" s="1"/>
  <c r="L21" i="62" s="1"/>
  <c r="M18" i="62"/>
  <c r="AC25" i="62" l="1"/>
  <c r="P30" i="62"/>
  <c r="S11" i="62"/>
  <c r="AG6" i="62" s="1"/>
  <c r="P31" i="62"/>
  <c r="P37" i="62"/>
  <c r="L15" i="62"/>
  <c r="M16" i="62" s="1"/>
  <c r="W6" i="62"/>
  <c r="O22" i="62"/>
  <c r="P22" i="62" s="1"/>
  <c r="S10" i="62"/>
  <c r="T10" i="62" s="1"/>
  <c r="W5" i="62"/>
  <c r="L10" i="62"/>
  <c r="L12" i="62" s="1"/>
  <c r="AH9" i="62"/>
  <c r="AI9" i="62" s="1"/>
  <c r="AJ9" i="62" s="1"/>
  <c r="AK9" i="62" s="1"/>
  <c r="AL9" i="62" s="1"/>
  <c r="AM9" i="62" s="1"/>
  <c r="AN9" i="62" s="1"/>
  <c r="AO9" i="62" s="1"/>
  <c r="AP9" i="62" s="1"/>
  <c r="AQ9" i="62" s="1"/>
  <c r="AR9" i="62" s="1"/>
  <c r="AS9" i="62" s="1"/>
  <c r="AT9" i="62" s="1"/>
  <c r="AU9" i="62" s="1"/>
  <c r="AV9" i="62" s="1"/>
  <c r="AW9" i="62" s="1"/>
  <c r="AX9" i="62" s="1"/>
  <c r="AY9" i="62" s="1"/>
  <c r="AZ9" i="62" s="1"/>
  <c r="AH8" i="62"/>
  <c r="AI8" i="62" s="1"/>
  <c r="AJ8" i="62" s="1"/>
  <c r="AK8" i="62" s="1"/>
  <c r="AL8" i="62" s="1"/>
  <c r="AM8" i="62" s="1"/>
  <c r="AN8" i="62" s="1"/>
  <c r="AO8" i="62" s="1"/>
  <c r="AP8" i="62" s="1"/>
  <c r="AQ8" i="62" s="1"/>
  <c r="AR8" i="62" s="1"/>
  <c r="AS8" i="62" s="1"/>
  <c r="AT8" i="62" s="1"/>
  <c r="AU8" i="62" s="1"/>
  <c r="AV8" i="62" s="1"/>
  <c r="AW8" i="62" s="1"/>
  <c r="AX8" i="62" s="1"/>
  <c r="AY8" i="62" s="1"/>
  <c r="AZ8" i="62" s="1"/>
  <c r="AH7" i="62"/>
  <c r="AI7" i="62" s="1"/>
  <c r="AJ7" i="62" s="1"/>
  <c r="AK7" i="62" s="1"/>
  <c r="AL7" i="62" s="1"/>
  <c r="AM7" i="62" s="1"/>
  <c r="AN7" i="62" s="1"/>
  <c r="AO7" i="62" s="1"/>
  <c r="AP7" i="62" s="1"/>
  <c r="AQ7" i="62" s="1"/>
  <c r="AR7" i="62" s="1"/>
  <c r="AS7" i="62" s="1"/>
  <c r="AT7" i="62" s="1"/>
  <c r="AU7" i="62" s="1"/>
  <c r="AV7" i="62" s="1"/>
  <c r="AW7" i="62" s="1"/>
  <c r="AX7" i="62" s="1"/>
  <c r="AY7" i="62" s="1"/>
  <c r="AZ7" i="62" s="1"/>
  <c r="X8" i="62"/>
  <c r="Y8" i="62" s="1"/>
  <c r="Z8" i="62" s="1"/>
  <c r="AA8" i="62" s="1"/>
  <c r="AB8" i="62" s="1"/>
  <c r="AC8" i="62" s="1"/>
  <c r="AD8" i="62" s="1"/>
  <c r="AE8" i="62" s="1"/>
  <c r="AF8" i="62" s="1"/>
  <c r="X7" i="62"/>
  <c r="Y7" i="62" s="1"/>
  <c r="Z7" i="62" s="1"/>
  <c r="AA7" i="62" s="1"/>
  <c r="AB7" i="62" s="1"/>
  <c r="AC7" i="62" s="1"/>
  <c r="AD7" i="62" s="1"/>
  <c r="AE7" i="62" s="1"/>
  <c r="AF7" i="62" s="1"/>
  <c r="AH6" i="62" l="1"/>
  <c r="AI6" i="62" s="1"/>
  <c r="AJ6" i="62" s="1"/>
  <c r="AK6" i="62" s="1"/>
  <c r="AL6" i="62" s="1"/>
  <c r="AM6" i="62" s="1"/>
  <c r="AN6" i="62" s="1"/>
  <c r="AO6" i="62" s="1"/>
  <c r="AP6" i="62" s="1"/>
  <c r="AQ6" i="62" s="1"/>
  <c r="AR6" i="62" s="1"/>
  <c r="AS6" i="62" s="1"/>
  <c r="AT6" i="62" s="1"/>
  <c r="AU6" i="62" s="1"/>
  <c r="AV6" i="62" s="1"/>
  <c r="AW6" i="62" s="1"/>
  <c r="AX6" i="62" s="1"/>
  <c r="AY6" i="62" s="1"/>
  <c r="AZ6" i="62" s="1"/>
  <c r="X6" i="62"/>
  <c r="Y6" i="62" s="1"/>
  <c r="Z6" i="62" s="1"/>
  <c r="AA6" i="62" s="1"/>
  <c r="AB6" i="62" s="1"/>
  <c r="AC6" i="62" s="1"/>
  <c r="AD6" i="62" s="1"/>
  <c r="AE6" i="62" s="1"/>
  <c r="AF6" i="62" s="1"/>
  <c r="T11" i="62"/>
  <c r="P45" i="62"/>
  <c r="AG5" i="62"/>
  <c r="S15" i="62"/>
  <c r="S16" i="62" s="1"/>
  <c r="BA10" i="62"/>
  <c r="L23" i="62"/>
  <c r="AE56" i="61"/>
  <c r="AF56" i="61" s="1"/>
  <c r="Q21" i="34"/>
  <c r="P29" i="34"/>
  <c r="P33" i="34"/>
  <c r="P34" i="34" s="1"/>
  <c r="AE55" i="61"/>
  <c r="AH19" i="51"/>
  <c r="AI19" i="51"/>
  <c r="BU28" i="61"/>
  <c r="I26" i="61"/>
  <c r="C26" i="61"/>
  <c r="AL71" i="40"/>
  <c r="AK71" i="40"/>
  <c r="AL70" i="40"/>
  <c r="AK70" i="40"/>
  <c r="AL69" i="40"/>
  <c r="AK69" i="40"/>
  <c r="AL68" i="40"/>
  <c r="AK68" i="40"/>
  <c r="AL67" i="40"/>
  <c r="AK67" i="40"/>
  <c r="AJ72" i="40"/>
  <c r="AI72" i="40"/>
  <c r="AL66" i="40"/>
  <c r="AK66" i="40"/>
  <c r="F26" i="61" l="1"/>
  <c r="AG10" i="62"/>
  <c r="X5" i="62"/>
  <c r="AH5" i="62"/>
  <c r="L5" i="62"/>
  <c r="M5" i="62" s="1"/>
  <c r="H19" i="62"/>
  <c r="AO56" i="61"/>
  <c r="AX56" i="61"/>
  <c r="AN56" i="61"/>
  <c r="BG56" i="61"/>
  <c r="AW56" i="61"/>
  <c r="AM56" i="61"/>
  <c r="BI56" i="61"/>
  <c r="AV56" i="61"/>
  <c r="BE56" i="61"/>
  <c r="AU56" i="61"/>
  <c r="AK56" i="61"/>
  <c r="AY56" i="61"/>
  <c r="AL56" i="61"/>
  <c r="BD56" i="61"/>
  <c r="AT56" i="61"/>
  <c r="AJ56" i="61"/>
  <c r="BF56" i="61"/>
  <c r="BC56" i="61"/>
  <c r="AS56" i="61"/>
  <c r="AI56" i="61"/>
  <c r="BH56" i="61"/>
  <c r="BB56" i="61"/>
  <c r="AR56" i="61"/>
  <c r="AH56" i="61"/>
  <c r="AZ56" i="61"/>
  <c r="AP56" i="61"/>
  <c r="BA56" i="61"/>
  <c r="AQ56" i="61"/>
  <c r="AG56" i="61"/>
  <c r="J67" i="40"/>
  <c r="O67" i="40"/>
  <c r="L24" i="62" l="1"/>
  <c r="L25" i="62" s="1"/>
  <c r="M25" i="62" s="1"/>
  <c r="W9" i="62"/>
  <c r="T14" i="62"/>
  <c r="AI5" i="62"/>
  <c r="AH10" i="62"/>
  <c r="Y5" i="62"/>
  <c r="L11" i="62"/>
  <c r="Z5" i="62" l="1"/>
  <c r="AJ5" i="62"/>
  <c r="AI10" i="62"/>
  <c r="X9" i="62"/>
  <c r="W10" i="62"/>
  <c r="X66" i="40"/>
  <c r="X72" i="40" s="1"/>
  <c r="X67" i="40"/>
  <c r="Y67" i="40" s="1"/>
  <c r="Z67" i="40" s="1"/>
  <c r="X68" i="40"/>
  <c r="X69" i="40"/>
  <c r="X70" i="40"/>
  <c r="X71" i="40"/>
  <c r="W67" i="40"/>
  <c r="W68" i="40"/>
  <c r="W69" i="40"/>
  <c r="W70" i="40"/>
  <c r="W71" i="40"/>
  <c r="W66" i="40"/>
  <c r="W72" i="40" s="1"/>
  <c r="Y9" i="62" l="1"/>
  <c r="X10" i="62"/>
  <c r="AJ10" i="62"/>
  <c r="AK5" i="62"/>
  <c r="AA5" i="62"/>
  <c r="P66" i="40"/>
  <c r="K66" i="40"/>
  <c r="DM26" i="61"/>
  <c r="AB5" i="62" l="1"/>
  <c r="AL5" i="62"/>
  <c r="AK10" i="62"/>
  <c r="Z9" i="62"/>
  <c r="Y10" i="62"/>
  <c r="H16" i="51"/>
  <c r="F19" i="51"/>
  <c r="F16" i="51"/>
  <c r="E16" i="51"/>
  <c r="G19" i="51"/>
  <c r="H19" i="51"/>
  <c r="I19" i="51"/>
  <c r="J19" i="51"/>
  <c r="K19" i="51"/>
  <c r="L19" i="51"/>
  <c r="M19" i="51"/>
  <c r="N19" i="51"/>
  <c r="O19" i="51"/>
  <c r="P19" i="51"/>
  <c r="U67" i="40"/>
  <c r="U68" i="40"/>
  <c r="U69" i="40"/>
  <c r="U70" i="40"/>
  <c r="U71" i="40"/>
  <c r="T67" i="40"/>
  <c r="T68" i="40"/>
  <c r="T69" i="40"/>
  <c r="T70" i="40"/>
  <c r="T71" i="40"/>
  <c r="U66" i="40"/>
  <c r="U72" i="40" s="1"/>
  <c r="T66" i="40"/>
  <c r="T72" i="40" s="1"/>
  <c r="J71" i="40"/>
  <c r="J70" i="40"/>
  <c r="J66" i="40"/>
  <c r="O66" i="40"/>
  <c r="Y72" i="40"/>
  <c r="Y71" i="40"/>
  <c r="Z71" i="40" s="1"/>
  <c r="Y70" i="40"/>
  <c r="Z70" i="40" s="1"/>
  <c r="Y69" i="40"/>
  <c r="Z69" i="40" s="1"/>
  <c r="Y68" i="40"/>
  <c r="Z68" i="40" s="1"/>
  <c r="Y66" i="40"/>
  <c r="Z66" i="40" s="1"/>
  <c r="E60" i="54"/>
  <c r="A107" i="53"/>
  <c r="AA9" i="62" l="1"/>
  <c r="Z10" i="62"/>
  <c r="AL10" i="62"/>
  <c r="AM5" i="62"/>
  <c r="AC5" i="62"/>
  <c r="C9" i="58"/>
  <c r="D9" i="58"/>
  <c r="E9" i="58"/>
  <c r="F9" i="58"/>
  <c r="G9" i="58"/>
  <c r="H9" i="58"/>
  <c r="I9" i="58"/>
  <c r="J9" i="58"/>
  <c r="K9" i="58"/>
  <c r="L9" i="58"/>
  <c r="M9" i="58"/>
  <c r="N9" i="58"/>
  <c r="O9" i="58"/>
  <c r="P9" i="58"/>
  <c r="Q9" i="58"/>
  <c r="R9" i="58"/>
  <c r="S9" i="58"/>
  <c r="T9" i="58"/>
  <c r="U9" i="58"/>
  <c r="V9" i="58"/>
  <c r="W9" i="58"/>
  <c r="X9" i="58"/>
  <c r="Y9" i="58"/>
  <c r="Z9" i="58"/>
  <c r="AA9" i="58"/>
  <c r="AB9" i="58"/>
  <c r="AC9" i="58"/>
  <c r="AD9" i="58"/>
  <c r="AE9" i="58"/>
  <c r="AF9" i="58"/>
  <c r="AG9" i="58"/>
  <c r="AH9" i="58"/>
  <c r="AI9" i="58"/>
  <c r="AJ9" i="58"/>
  <c r="C18"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AD18" i="58"/>
  <c r="AE18" i="58"/>
  <c r="AF18" i="58"/>
  <c r="AG18" i="58"/>
  <c r="AH18" i="58"/>
  <c r="AI18" i="58"/>
  <c r="AJ18" i="58"/>
  <c r="C20" i="58"/>
  <c r="D20" i="58"/>
  <c r="E20" i="58"/>
  <c r="F20" i="58"/>
  <c r="G20" i="58"/>
  <c r="G27" i="58" s="1"/>
  <c r="H20" i="58"/>
  <c r="H27" i="58" s="1"/>
  <c r="I20" i="58"/>
  <c r="I56" i="58" s="1"/>
  <c r="J20" i="58"/>
  <c r="J56" i="58" s="1"/>
  <c r="K20" i="58"/>
  <c r="K56" i="58" s="1"/>
  <c r="L20" i="58"/>
  <c r="M20" i="58"/>
  <c r="N20" i="58"/>
  <c r="O20" i="58"/>
  <c r="P20" i="58"/>
  <c r="Q20" i="58"/>
  <c r="Q27" i="58" s="1"/>
  <c r="R20" i="58"/>
  <c r="R27" i="58" s="1"/>
  <c r="S20" i="58"/>
  <c r="S56" i="58" s="1"/>
  <c r="T20" i="58"/>
  <c r="T56" i="58" s="1"/>
  <c r="U20" i="58"/>
  <c r="U56" i="58" s="1"/>
  <c r="V20" i="58"/>
  <c r="W20" i="58"/>
  <c r="X20" i="58"/>
  <c r="Y20" i="58"/>
  <c r="Z20" i="58"/>
  <c r="AA20" i="58"/>
  <c r="AA27" i="58" s="1"/>
  <c r="AB20" i="58"/>
  <c r="AB27" i="58" s="1"/>
  <c r="AC20" i="58"/>
  <c r="AC56" i="58" s="1"/>
  <c r="AD20" i="58"/>
  <c r="AD56" i="58" s="1"/>
  <c r="AE20" i="58"/>
  <c r="AE56" i="58" s="1"/>
  <c r="AF20" i="58"/>
  <c r="AG20" i="58"/>
  <c r="AH20" i="58"/>
  <c r="AI20" i="58"/>
  <c r="AJ20" i="58"/>
  <c r="C21" i="58"/>
  <c r="D21" i="58"/>
  <c r="E21" i="58"/>
  <c r="E57" i="58" s="1"/>
  <c r="F21" i="58"/>
  <c r="F57" i="58" s="1"/>
  <c r="G21" i="58"/>
  <c r="G57" i="58" s="1"/>
  <c r="H21" i="58"/>
  <c r="I21" i="58"/>
  <c r="J21" i="58"/>
  <c r="K21" i="58"/>
  <c r="L21" i="58"/>
  <c r="M21" i="58"/>
  <c r="N21" i="58"/>
  <c r="O21" i="58"/>
  <c r="O57" i="58" s="1"/>
  <c r="P21" i="58"/>
  <c r="P57" i="58" s="1"/>
  <c r="Q21" i="58"/>
  <c r="Q57" i="58" s="1"/>
  <c r="R21" i="58"/>
  <c r="S21" i="58"/>
  <c r="T21" i="58"/>
  <c r="U21" i="58"/>
  <c r="V21" i="58"/>
  <c r="W21" i="58"/>
  <c r="X21" i="58"/>
  <c r="Y21" i="58"/>
  <c r="Y57" i="58" s="1"/>
  <c r="Z21" i="58"/>
  <c r="Z57" i="58" s="1"/>
  <c r="AA21" i="58"/>
  <c r="AA57" i="58" s="1"/>
  <c r="AB21" i="58"/>
  <c r="AC21" i="58"/>
  <c r="AD21" i="58"/>
  <c r="AD27" i="58" s="1"/>
  <c r="AE21" i="58"/>
  <c r="AF21" i="58"/>
  <c r="AG21" i="58"/>
  <c r="AH21" i="58"/>
  <c r="AI21" i="58"/>
  <c r="AI57" i="58" s="1"/>
  <c r="AJ21" i="58"/>
  <c r="AJ57" i="58" s="1"/>
  <c r="C22" i="58"/>
  <c r="C58" i="58" s="1"/>
  <c r="D22" i="58"/>
  <c r="D58" i="58" s="1"/>
  <c r="E22" i="58"/>
  <c r="F22" i="58"/>
  <c r="G22" i="58"/>
  <c r="H22" i="58"/>
  <c r="I22" i="58"/>
  <c r="J22" i="58"/>
  <c r="K22" i="58"/>
  <c r="K58" i="58" s="1"/>
  <c r="L22" i="58"/>
  <c r="L58" i="58" s="1"/>
  <c r="M22" i="58"/>
  <c r="M58" i="58" s="1"/>
  <c r="N22" i="58"/>
  <c r="N58" i="58" s="1"/>
  <c r="O22" i="58"/>
  <c r="P22" i="58"/>
  <c r="Q22" i="58"/>
  <c r="R22" i="58"/>
  <c r="S22" i="58"/>
  <c r="T22" i="58"/>
  <c r="U22" i="58"/>
  <c r="U58" i="58" s="1"/>
  <c r="V22" i="58"/>
  <c r="V58" i="58" s="1"/>
  <c r="W22" i="58"/>
  <c r="W58" i="58" s="1"/>
  <c r="X22" i="58"/>
  <c r="X58" i="58" s="1"/>
  <c r="Y22" i="58"/>
  <c r="Z22" i="58"/>
  <c r="AA22" i="58"/>
  <c r="AB22" i="58"/>
  <c r="AC22" i="58"/>
  <c r="AD22" i="58"/>
  <c r="AE22" i="58"/>
  <c r="AE58" i="58" s="1"/>
  <c r="AF22" i="58"/>
  <c r="AF58" i="58" s="1"/>
  <c r="AG22" i="58"/>
  <c r="AG58" i="58" s="1"/>
  <c r="AH22" i="58"/>
  <c r="AH58" i="58" s="1"/>
  <c r="AI22" i="58"/>
  <c r="AJ22" i="58"/>
  <c r="C23" i="58"/>
  <c r="D23" i="58"/>
  <c r="E23" i="58"/>
  <c r="F23" i="58"/>
  <c r="G23" i="58"/>
  <c r="G59" i="58" s="1"/>
  <c r="H23" i="58"/>
  <c r="H59" i="58" s="1"/>
  <c r="I23" i="58"/>
  <c r="I59" i="58" s="1"/>
  <c r="J23" i="58"/>
  <c r="J59" i="58" s="1"/>
  <c r="K23" i="58"/>
  <c r="L23" i="58"/>
  <c r="M23" i="58"/>
  <c r="N23" i="58"/>
  <c r="O23" i="58"/>
  <c r="P23" i="58"/>
  <c r="Q23" i="58"/>
  <c r="Q59" i="58" s="1"/>
  <c r="R23" i="58"/>
  <c r="R59" i="58" s="1"/>
  <c r="S23" i="58"/>
  <c r="S59" i="58" s="1"/>
  <c r="T23" i="58"/>
  <c r="T59" i="58" s="1"/>
  <c r="U23" i="58"/>
  <c r="V23" i="58"/>
  <c r="W23" i="58"/>
  <c r="X23" i="58"/>
  <c r="Y23" i="58"/>
  <c r="Z23" i="58"/>
  <c r="AA23" i="58"/>
  <c r="AA59" i="58" s="1"/>
  <c r="AB23" i="58"/>
  <c r="AB59" i="58" s="1"/>
  <c r="AC23" i="58"/>
  <c r="AC59" i="58" s="1"/>
  <c r="AD23" i="58"/>
  <c r="AD59" i="58" s="1"/>
  <c r="AE23" i="58"/>
  <c r="AF23" i="58"/>
  <c r="AG23" i="58"/>
  <c r="AH23" i="58"/>
  <c r="AI23" i="58"/>
  <c r="AJ23" i="58"/>
  <c r="C24" i="58"/>
  <c r="C60" i="58" s="1"/>
  <c r="D24" i="58"/>
  <c r="D60" i="58" s="1"/>
  <c r="E24" i="58"/>
  <c r="E60" i="58" s="1"/>
  <c r="F24" i="58"/>
  <c r="F60" i="58" s="1"/>
  <c r="G24" i="58"/>
  <c r="H24" i="58"/>
  <c r="I24" i="58"/>
  <c r="J24" i="58"/>
  <c r="K24" i="58"/>
  <c r="L24" i="58"/>
  <c r="M24" i="58"/>
  <c r="M60" i="58" s="1"/>
  <c r="N24" i="58"/>
  <c r="N60" i="58" s="1"/>
  <c r="O24" i="58"/>
  <c r="O60" i="58" s="1"/>
  <c r="P24" i="58"/>
  <c r="P60" i="58" s="1"/>
  <c r="Q24" i="58"/>
  <c r="R24" i="58"/>
  <c r="S24" i="58"/>
  <c r="T24" i="58"/>
  <c r="U24" i="58"/>
  <c r="V24" i="58"/>
  <c r="W24" i="58"/>
  <c r="W60" i="58" s="1"/>
  <c r="X24" i="58"/>
  <c r="X60" i="58" s="1"/>
  <c r="Y24" i="58"/>
  <c r="Y60" i="58" s="1"/>
  <c r="Z24" i="58"/>
  <c r="Z60" i="58" s="1"/>
  <c r="AA24" i="58"/>
  <c r="AB24" i="58"/>
  <c r="AC24" i="58"/>
  <c r="AD24" i="58"/>
  <c r="AE24" i="58"/>
  <c r="AF24" i="58"/>
  <c r="AG24" i="58"/>
  <c r="AG60" i="58" s="1"/>
  <c r="AH24" i="58"/>
  <c r="AH60" i="58" s="1"/>
  <c r="AI24" i="58"/>
  <c r="AI60" i="58" s="1"/>
  <c r="AJ24" i="58"/>
  <c r="AJ60" i="58" s="1"/>
  <c r="C25" i="58"/>
  <c r="D25" i="58"/>
  <c r="E25" i="58"/>
  <c r="F25" i="58"/>
  <c r="G25" i="58"/>
  <c r="H25" i="58"/>
  <c r="I25" i="58"/>
  <c r="I61" i="58" s="1"/>
  <c r="J25" i="58"/>
  <c r="J61" i="58" s="1"/>
  <c r="K25" i="58"/>
  <c r="K61" i="58" s="1"/>
  <c r="L25" i="58"/>
  <c r="L61" i="58" s="1"/>
  <c r="M25" i="58"/>
  <c r="N25" i="58"/>
  <c r="O25" i="58"/>
  <c r="P25" i="58"/>
  <c r="Q25" i="58"/>
  <c r="R25" i="58"/>
  <c r="S25" i="58"/>
  <c r="S61" i="58" s="1"/>
  <c r="T25" i="58"/>
  <c r="T61" i="58" s="1"/>
  <c r="U25" i="58"/>
  <c r="U61" i="58" s="1"/>
  <c r="V25" i="58"/>
  <c r="V61" i="58" s="1"/>
  <c r="W25" i="58"/>
  <c r="X25" i="58"/>
  <c r="Y25" i="58"/>
  <c r="Z25" i="58"/>
  <c r="AA25" i="58"/>
  <c r="AB25" i="58"/>
  <c r="AC25" i="58"/>
  <c r="AC61" i="58" s="1"/>
  <c r="AD25" i="58"/>
  <c r="AD61" i="58" s="1"/>
  <c r="AE25" i="58"/>
  <c r="AE61" i="58" s="1"/>
  <c r="AF25" i="58"/>
  <c r="AF61" i="58" s="1"/>
  <c r="AG25" i="58"/>
  <c r="AH25" i="58"/>
  <c r="AI25" i="58"/>
  <c r="AJ25" i="58"/>
  <c r="C26" i="58"/>
  <c r="D26" i="58"/>
  <c r="E26" i="58"/>
  <c r="E62" i="58" s="1"/>
  <c r="F26" i="58"/>
  <c r="F62" i="58" s="1"/>
  <c r="G26" i="58"/>
  <c r="G62" i="58" s="1"/>
  <c r="H26" i="58"/>
  <c r="H62" i="58" s="1"/>
  <c r="I26" i="58"/>
  <c r="J26" i="58"/>
  <c r="K26" i="58"/>
  <c r="L26" i="58"/>
  <c r="M26" i="58"/>
  <c r="N26" i="58"/>
  <c r="O26" i="58"/>
  <c r="O62" i="58" s="1"/>
  <c r="P26" i="58"/>
  <c r="P62" i="58" s="1"/>
  <c r="Q26" i="58"/>
  <c r="Q62" i="58" s="1"/>
  <c r="R26" i="58"/>
  <c r="R62" i="58" s="1"/>
  <c r="S26" i="58"/>
  <c r="T26" i="58"/>
  <c r="U26" i="58"/>
  <c r="V26" i="58"/>
  <c r="W26" i="58"/>
  <c r="X26" i="58"/>
  <c r="Y26" i="58"/>
  <c r="Y62" i="58" s="1"/>
  <c r="Z26" i="58"/>
  <c r="Z62" i="58" s="1"/>
  <c r="AA26" i="58"/>
  <c r="AA62" i="58" s="1"/>
  <c r="AB26" i="58"/>
  <c r="AB62" i="58" s="1"/>
  <c r="AC26" i="58"/>
  <c r="AD26" i="58"/>
  <c r="AE26" i="58"/>
  <c r="AF26" i="58"/>
  <c r="AG26" i="58"/>
  <c r="AH26" i="58"/>
  <c r="AI26" i="58"/>
  <c r="AI62" i="58" s="1"/>
  <c r="AJ26" i="58"/>
  <c r="AJ62" i="58" s="1"/>
  <c r="C27" i="58"/>
  <c r="D27" i="58"/>
  <c r="F27" i="58"/>
  <c r="K27" i="58"/>
  <c r="L27" i="58"/>
  <c r="M27" i="58"/>
  <c r="N27" i="58"/>
  <c r="P27" i="58"/>
  <c r="U27" i="58"/>
  <c r="V27" i="58"/>
  <c r="W27" i="58"/>
  <c r="X27" i="58"/>
  <c r="Z27" i="58"/>
  <c r="AE27" i="58"/>
  <c r="AF27" i="58"/>
  <c r="AG27" i="58"/>
  <c r="AH27" i="58"/>
  <c r="AJ27" i="58"/>
  <c r="AM35" i="58"/>
  <c r="AN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AD36" i="58"/>
  <c r="AE36" i="58"/>
  <c r="AF36" i="58"/>
  <c r="AG36" i="58"/>
  <c r="AH36" i="58"/>
  <c r="AI36" i="58"/>
  <c r="AJ36" i="58"/>
  <c r="AM36" i="58"/>
  <c r="AN36"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AD45" i="58"/>
  <c r="AE45" i="58"/>
  <c r="AF45" i="58"/>
  <c r="AG45" i="58"/>
  <c r="AH45" i="58"/>
  <c r="AI45" i="58"/>
  <c r="AJ45" i="58"/>
  <c r="D47" i="58"/>
  <c r="E47" i="58"/>
  <c r="F47" i="58"/>
  <c r="G47" i="58"/>
  <c r="G56" i="58" s="1"/>
  <c r="H47" i="58"/>
  <c r="I47" i="58"/>
  <c r="J47" i="58"/>
  <c r="K47" i="58"/>
  <c r="K54" i="58" s="1"/>
  <c r="L47" i="58"/>
  <c r="M47" i="58"/>
  <c r="M54" i="58" s="1"/>
  <c r="N47" i="58"/>
  <c r="O47" i="58"/>
  <c r="P47" i="58"/>
  <c r="Q47" i="58"/>
  <c r="Q56" i="58" s="1"/>
  <c r="R47" i="58"/>
  <c r="S47" i="58"/>
  <c r="T47" i="58"/>
  <c r="U47" i="58"/>
  <c r="U54" i="58" s="1"/>
  <c r="V47" i="58"/>
  <c r="W47" i="58"/>
  <c r="W54" i="58" s="1"/>
  <c r="X47" i="58"/>
  <c r="Y47" i="58"/>
  <c r="Z47" i="58"/>
  <c r="AA47" i="58"/>
  <c r="AA56" i="58" s="1"/>
  <c r="AB47" i="58"/>
  <c r="AC47" i="58"/>
  <c r="AD47" i="58"/>
  <c r="AE47" i="58"/>
  <c r="AE54" i="58" s="1"/>
  <c r="AF47" i="58"/>
  <c r="AG47" i="58"/>
  <c r="AG54" i="58" s="1"/>
  <c r="AH47" i="58"/>
  <c r="AI47" i="58"/>
  <c r="AJ47" i="58"/>
  <c r="D48" i="58"/>
  <c r="D54" i="58" s="1"/>
  <c r="E48" i="58"/>
  <c r="E54" i="58" s="1"/>
  <c r="F48" i="58"/>
  <c r="F54" i="58" s="1"/>
  <c r="G48" i="58"/>
  <c r="H48" i="58"/>
  <c r="H57" i="58" s="1"/>
  <c r="I48" i="58"/>
  <c r="J48" i="58"/>
  <c r="K48" i="58"/>
  <c r="L48" i="58"/>
  <c r="M48" i="58"/>
  <c r="N48" i="58"/>
  <c r="N54" i="58" s="1"/>
  <c r="O48" i="58"/>
  <c r="O54" i="58" s="1"/>
  <c r="P48" i="58"/>
  <c r="P54" i="58" s="1"/>
  <c r="Q48" i="58"/>
  <c r="R48" i="58"/>
  <c r="R57" i="58" s="1"/>
  <c r="S48" i="58"/>
  <c r="T48" i="58"/>
  <c r="U48" i="58"/>
  <c r="V48" i="58"/>
  <c r="W48" i="58"/>
  <c r="X48" i="58"/>
  <c r="X54" i="58" s="1"/>
  <c r="Y48" i="58"/>
  <c r="Y54" i="58" s="1"/>
  <c r="Z48" i="58"/>
  <c r="Z54" i="58" s="1"/>
  <c r="AA48" i="58"/>
  <c r="AB48" i="58"/>
  <c r="AB57" i="58" s="1"/>
  <c r="AC48" i="58"/>
  <c r="AD48" i="58"/>
  <c r="AE48" i="58"/>
  <c r="AF48" i="58"/>
  <c r="AG48" i="58"/>
  <c r="AH48" i="58"/>
  <c r="AH54" i="58" s="1"/>
  <c r="AI48" i="58"/>
  <c r="AI54" i="58" s="1"/>
  <c r="AJ48" i="58"/>
  <c r="AJ54" i="58" s="1"/>
  <c r="D49" i="58"/>
  <c r="E49" i="58"/>
  <c r="E58" i="58" s="1"/>
  <c r="F49" i="58"/>
  <c r="G49" i="58"/>
  <c r="G54" i="58" s="1"/>
  <c r="H49" i="58"/>
  <c r="I49" i="58"/>
  <c r="J49" i="58"/>
  <c r="K49" i="58"/>
  <c r="L49" i="58"/>
  <c r="M49" i="58"/>
  <c r="N49" i="58"/>
  <c r="O49" i="58"/>
  <c r="P49" i="58"/>
  <c r="Q49" i="58"/>
  <c r="R49" i="58"/>
  <c r="S49" i="58"/>
  <c r="T49" i="58"/>
  <c r="U49" i="58"/>
  <c r="V49" i="58"/>
  <c r="W49" i="58"/>
  <c r="X49" i="58"/>
  <c r="Y49" i="58"/>
  <c r="Y58" i="58" s="1"/>
  <c r="Z49" i="58"/>
  <c r="AA49" i="58"/>
  <c r="AA54" i="58" s="1"/>
  <c r="AB49" i="58"/>
  <c r="AC49" i="58"/>
  <c r="AD49" i="58"/>
  <c r="AE49" i="58"/>
  <c r="AF49" i="58"/>
  <c r="AG49" i="58"/>
  <c r="AH49" i="58"/>
  <c r="AI49" i="58"/>
  <c r="AJ49" i="58"/>
  <c r="D50" i="58"/>
  <c r="E50" i="58"/>
  <c r="F50" i="58"/>
  <c r="G50" i="58"/>
  <c r="H50" i="58"/>
  <c r="I50" i="58"/>
  <c r="J50" i="58"/>
  <c r="K50" i="58"/>
  <c r="K59" i="58" s="1"/>
  <c r="L50" i="58"/>
  <c r="M50" i="58"/>
  <c r="N50" i="58"/>
  <c r="O50" i="58"/>
  <c r="P50" i="58"/>
  <c r="Q50" i="58"/>
  <c r="R50" i="58"/>
  <c r="S50" i="58"/>
  <c r="T50" i="58"/>
  <c r="U50" i="58"/>
  <c r="U59" i="58" s="1"/>
  <c r="V50" i="58"/>
  <c r="W50" i="58"/>
  <c r="X50" i="58"/>
  <c r="Y50" i="58"/>
  <c r="Z50" i="58"/>
  <c r="AA50" i="58"/>
  <c r="AB50" i="58"/>
  <c r="AC50" i="58"/>
  <c r="AD50" i="58"/>
  <c r="AE50" i="58"/>
  <c r="AE59" i="58" s="1"/>
  <c r="AF50" i="58"/>
  <c r="AG50" i="58"/>
  <c r="AH50" i="58"/>
  <c r="AI50" i="58"/>
  <c r="AJ50" i="58"/>
  <c r="D51" i="58"/>
  <c r="E51" i="58"/>
  <c r="F51" i="58"/>
  <c r="G51" i="58"/>
  <c r="G60" i="58" s="1"/>
  <c r="H51" i="58"/>
  <c r="I51" i="58"/>
  <c r="J51" i="58"/>
  <c r="K51" i="58"/>
  <c r="K60" i="58" s="1"/>
  <c r="L51" i="58"/>
  <c r="M51" i="58"/>
  <c r="N51" i="58"/>
  <c r="O51" i="58"/>
  <c r="P51" i="58"/>
  <c r="Q51" i="58"/>
  <c r="Q54" i="58" s="1"/>
  <c r="R51" i="58"/>
  <c r="S51" i="58"/>
  <c r="T51" i="58"/>
  <c r="U51" i="58"/>
  <c r="U60" i="58" s="1"/>
  <c r="V51" i="58"/>
  <c r="W51" i="58"/>
  <c r="X51" i="58"/>
  <c r="Y51" i="58"/>
  <c r="Z51" i="58"/>
  <c r="AA51" i="58"/>
  <c r="AA60" i="58" s="1"/>
  <c r="AB51" i="58"/>
  <c r="AC51" i="58"/>
  <c r="AD51" i="58"/>
  <c r="AE51" i="58"/>
  <c r="AE60" i="58" s="1"/>
  <c r="AF51" i="58"/>
  <c r="AG51" i="58"/>
  <c r="AH51" i="58"/>
  <c r="AI51" i="58"/>
  <c r="AJ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AD52" i="58"/>
  <c r="AE52" i="58"/>
  <c r="AF52" i="58"/>
  <c r="AG52" i="58"/>
  <c r="AH52" i="58"/>
  <c r="AI52" i="58"/>
  <c r="AJ52" i="58"/>
  <c r="D53" i="58"/>
  <c r="E53" i="58"/>
  <c r="F53" i="58"/>
  <c r="G53" i="58"/>
  <c r="H53" i="58"/>
  <c r="I53" i="58"/>
  <c r="J53" i="58"/>
  <c r="K53" i="58"/>
  <c r="L53" i="58"/>
  <c r="M53" i="58"/>
  <c r="M62" i="58" s="1"/>
  <c r="N53" i="58"/>
  <c r="O53" i="58"/>
  <c r="P53" i="58"/>
  <c r="Q53" i="58"/>
  <c r="R53" i="58"/>
  <c r="S53" i="58"/>
  <c r="T53" i="58"/>
  <c r="U53" i="58"/>
  <c r="V53" i="58"/>
  <c r="W53" i="58"/>
  <c r="W62" i="58" s="1"/>
  <c r="X53" i="58"/>
  <c r="Y53" i="58"/>
  <c r="Z53" i="58"/>
  <c r="AA53" i="58"/>
  <c r="AB53" i="58"/>
  <c r="AC53" i="58"/>
  <c r="AD53" i="58"/>
  <c r="AE53" i="58"/>
  <c r="AF53" i="58"/>
  <c r="AG53" i="58"/>
  <c r="AG62" i="58" s="1"/>
  <c r="AH53" i="58"/>
  <c r="AI53" i="58"/>
  <c r="AJ53" i="58"/>
  <c r="H54" i="58"/>
  <c r="I54" i="58"/>
  <c r="J54" i="58"/>
  <c r="L54" i="58"/>
  <c r="R54" i="58"/>
  <c r="S54" i="58"/>
  <c r="T54" i="58"/>
  <c r="V54" i="58"/>
  <c r="AB54" i="58"/>
  <c r="AC54" i="58"/>
  <c r="AD54" i="58"/>
  <c r="AF54" i="58"/>
  <c r="C56" i="58"/>
  <c r="C63" i="58" s="1"/>
  <c r="D56" i="58"/>
  <c r="E56" i="58"/>
  <c r="F56" i="58"/>
  <c r="H56" i="58"/>
  <c r="L56" i="58"/>
  <c r="M56" i="58"/>
  <c r="N56" i="58"/>
  <c r="O56" i="58"/>
  <c r="O63" i="58" s="1"/>
  <c r="P56" i="58"/>
  <c r="R56" i="58"/>
  <c r="V56" i="58"/>
  <c r="W56" i="58"/>
  <c r="X56" i="58"/>
  <c r="Y56" i="58"/>
  <c r="Z56" i="58"/>
  <c r="AB56" i="58"/>
  <c r="AF56" i="58"/>
  <c r="AG56" i="58"/>
  <c r="AG63" i="58" s="1"/>
  <c r="AH56" i="58"/>
  <c r="AI56" i="58"/>
  <c r="AI63" i="58" s="1"/>
  <c r="AJ56" i="58"/>
  <c r="C57" i="58"/>
  <c r="D57" i="58"/>
  <c r="I57" i="58"/>
  <c r="J57" i="58"/>
  <c r="K57" i="58"/>
  <c r="L57" i="58"/>
  <c r="M57" i="58"/>
  <c r="N57" i="58"/>
  <c r="S57" i="58"/>
  <c r="T57" i="58"/>
  <c r="U57" i="58"/>
  <c r="V57" i="58"/>
  <c r="W57" i="58"/>
  <c r="X57" i="58"/>
  <c r="AC57" i="58"/>
  <c r="AD57" i="58"/>
  <c r="AE57" i="58"/>
  <c r="AF57" i="58"/>
  <c r="AG57" i="58"/>
  <c r="AH57" i="58"/>
  <c r="F58" i="58"/>
  <c r="G58" i="58"/>
  <c r="H58" i="58"/>
  <c r="I58" i="58"/>
  <c r="J58" i="58"/>
  <c r="O58" i="58"/>
  <c r="P58" i="58"/>
  <c r="Q58" i="58"/>
  <c r="R58" i="58"/>
  <c r="S58" i="58"/>
  <c r="T58" i="58"/>
  <c r="Z58" i="58"/>
  <c r="AA58" i="58"/>
  <c r="AB58" i="58"/>
  <c r="AC58" i="58"/>
  <c r="AD58" i="58"/>
  <c r="AI58" i="58"/>
  <c r="AJ58" i="58"/>
  <c r="C59" i="58"/>
  <c r="D59" i="58"/>
  <c r="E59" i="58"/>
  <c r="F59" i="58"/>
  <c r="L59" i="58"/>
  <c r="M59" i="58"/>
  <c r="N59" i="58"/>
  <c r="O59" i="58"/>
  <c r="P59" i="58"/>
  <c r="V59" i="58"/>
  <c r="W59" i="58"/>
  <c r="X59" i="58"/>
  <c r="Y59" i="58"/>
  <c r="Z59" i="58"/>
  <c r="AF59" i="58"/>
  <c r="AG59" i="58"/>
  <c r="AH59" i="58"/>
  <c r="AI59" i="58"/>
  <c r="AJ59" i="58"/>
  <c r="H60" i="58"/>
  <c r="I60" i="58"/>
  <c r="J60" i="58"/>
  <c r="L60" i="58"/>
  <c r="R60" i="58"/>
  <c r="S60" i="58"/>
  <c r="T60" i="58"/>
  <c r="V60" i="58"/>
  <c r="AB60" i="58"/>
  <c r="AC60" i="58"/>
  <c r="AD60" i="58"/>
  <c r="AF60" i="58"/>
  <c r="C61" i="58"/>
  <c r="D61" i="58"/>
  <c r="E61" i="58"/>
  <c r="F61" i="58"/>
  <c r="G61" i="58"/>
  <c r="H61" i="58"/>
  <c r="M61" i="58"/>
  <c r="N61" i="58"/>
  <c r="O61" i="58"/>
  <c r="P61" i="58"/>
  <c r="Q61" i="58"/>
  <c r="R61" i="58"/>
  <c r="W61" i="58"/>
  <c r="X61" i="58"/>
  <c r="Y61" i="58"/>
  <c r="Z61" i="58"/>
  <c r="AA61" i="58"/>
  <c r="AB61" i="58"/>
  <c r="AG61" i="58"/>
  <c r="AH61" i="58"/>
  <c r="AI61" i="58"/>
  <c r="AJ61" i="58"/>
  <c r="C62" i="58"/>
  <c r="D62" i="58"/>
  <c r="I62" i="58"/>
  <c r="J62" i="58"/>
  <c r="K62" i="58"/>
  <c r="L62" i="58"/>
  <c r="N62" i="58"/>
  <c r="S62" i="58"/>
  <c r="T62" i="58"/>
  <c r="U62" i="58"/>
  <c r="V62" i="58"/>
  <c r="X62" i="58"/>
  <c r="AC62" i="58"/>
  <c r="AD62" i="58"/>
  <c r="AE62" i="58"/>
  <c r="AF62" i="58"/>
  <c r="AH62" i="58"/>
  <c r="D66" i="58"/>
  <c r="E66" i="58"/>
  <c r="F66" i="58"/>
  <c r="G66" i="58"/>
  <c r="H66" i="58"/>
  <c r="I66" i="58"/>
  <c r="J66" i="58"/>
  <c r="K66" i="58"/>
  <c r="L66" i="58"/>
  <c r="M66" i="58"/>
  <c r="N66" i="58"/>
  <c r="O66" i="58"/>
  <c r="P66" i="58"/>
  <c r="Q66" i="58"/>
  <c r="R66" i="58"/>
  <c r="S66" i="58"/>
  <c r="T66" i="58"/>
  <c r="U66" i="58"/>
  <c r="V66" i="58"/>
  <c r="W66" i="58"/>
  <c r="X66" i="58"/>
  <c r="Y66" i="58"/>
  <c r="Z66" i="58"/>
  <c r="AA66" i="58"/>
  <c r="AB66" i="58"/>
  <c r="AC66" i="58"/>
  <c r="AD66" i="58"/>
  <c r="AE66" i="58"/>
  <c r="AF66" i="58"/>
  <c r="AG66" i="58"/>
  <c r="AH66" i="58"/>
  <c r="AI66" i="58"/>
  <c r="AJ66" i="58"/>
  <c r="B98" i="58"/>
  <c r="C98" i="58"/>
  <c r="D98" i="58"/>
  <c r="E98" i="58"/>
  <c r="F98" i="58"/>
  <c r="G98" i="58"/>
  <c r="H98" i="58"/>
  <c r="I98" i="58"/>
  <c r="B106" i="58"/>
  <c r="C106" i="58"/>
  <c r="D106" i="58"/>
  <c r="E106" i="58"/>
  <c r="F106" i="58"/>
  <c r="G106" i="58"/>
  <c r="H106" i="58"/>
  <c r="I106" i="58"/>
  <c r="J106" i="58"/>
  <c r="K106" i="58"/>
  <c r="L106" i="58"/>
  <c r="M106" i="58"/>
  <c r="N106" i="58"/>
  <c r="O106" i="58"/>
  <c r="P106" i="58"/>
  <c r="Q106" i="58"/>
  <c r="R106" i="58"/>
  <c r="S106" i="58"/>
  <c r="T106" i="58"/>
  <c r="U106" i="58"/>
  <c r="V106" i="58"/>
  <c r="W106" i="58"/>
  <c r="X106" i="58"/>
  <c r="Y106" i="58"/>
  <c r="Z106" i="58"/>
  <c r="AA106" i="58"/>
  <c r="AB106" i="58"/>
  <c r="AC106" i="58"/>
  <c r="AD106" i="58"/>
  <c r="AE106" i="58"/>
  <c r="AF106" i="58"/>
  <c r="AG106" i="58"/>
  <c r="AH106" i="58"/>
  <c r="G113" i="58"/>
  <c r="D117" i="58" s="1"/>
  <c r="D113" i="58" s="1"/>
  <c r="E113" i="58" s="1"/>
  <c r="F113" i="58" s="1"/>
  <c r="I113" i="58"/>
  <c r="K113" i="58"/>
  <c r="P113" i="58"/>
  <c r="J117" i="58" s="1"/>
  <c r="U113" i="58"/>
  <c r="Z113" i="58"/>
  <c r="AJ113" i="58"/>
  <c r="E114" i="58"/>
  <c r="G114" i="58"/>
  <c r="K114" i="58"/>
  <c r="L114" i="58"/>
  <c r="M114" i="58"/>
  <c r="N114" i="58"/>
  <c r="O114" i="58"/>
  <c r="Q114" i="58"/>
  <c r="U114" i="58"/>
  <c r="V114" i="58"/>
  <c r="W114" i="58"/>
  <c r="X114" i="58"/>
  <c r="Y114" i="58"/>
  <c r="AA114" i="58"/>
  <c r="AE114" i="58"/>
  <c r="AF114" i="58"/>
  <c r="AG114" i="58"/>
  <c r="AH114" i="58"/>
  <c r="AI114" i="58"/>
  <c r="C115" i="58"/>
  <c r="C65" i="58" s="1"/>
  <c r="K115" i="58"/>
  <c r="K65" i="58" s="1"/>
  <c r="U115" i="58"/>
  <c r="U65" i="58" s="1"/>
  <c r="C120" i="58"/>
  <c r="D120" i="58"/>
  <c r="E120" i="58"/>
  <c r="F120" i="58"/>
  <c r="G120" i="58"/>
  <c r="H120" i="58"/>
  <c r="I120" i="58"/>
  <c r="J120" i="58"/>
  <c r="K120" i="58"/>
  <c r="L120" i="58"/>
  <c r="M120" i="58"/>
  <c r="N120" i="58"/>
  <c r="O120" i="58"/>
  <c r="P120" i="58"/>
  <c r="Q120" i="58"/>
  <c r="R120" i="58"/>
  <c r="S120" i="58"/>
  <c r="T120" i="58"/>
  <c r="U120" i="58"/>
  <c r="V120" i="58"/>
  <c r="W120" i="58"/>
  <c r="X120" i="58"/>
  <c r="Y120" i="58"/>
  <c r="Z120" i="58"/>
  <c r="AA120" i="58"/>
  <c r="AB120" i="58"/>
  <c r="AC120" i="58"/>
  <c r="AD120" i="58"/>
  <c r="AE120" i="58"/>
  <c r="AF120" i="58"/>
  <c r="AG120" i="58"/>
  <c r="AH120" i="58"/>
  <c r="AI120" i="58"/>
  <c r="AJ120" i="58"/>
  <c r="C121" i="58"/>
  <c r="D121" i="58"/>
  <c r="D115" i="58" s="1"/>
  <c r="D65" i="58" s="1"/>
  <c r="E121" i="58"/>
  <c r="E115" i="58" s="1"/>
  <c r="E65" i="58" s="1"/>
  <c r="F121" i="58"/>
  <c r="F115" i="58" s="1"/>
  <c r="F65" i="58" s="1"/>
  <c r="G121" i="58"/>
  <c r="G115" i="58" s="1"/>
  <c r="G65" i="58" s="1"/>
  <c r="H121" i="58"/>
  <c r="H115" i="58" s="1"/>
  <c r="H65" i="58" s="1"/>
  <c r="I121" i="58"/>
  <c r="J121" i="58"/>
  <c r="K121" i="58"/>
  <c r="L121" i="58"/>
  <c r="M121" i="58"/>
  <c r="N121" i="58"/>
  <c r="O121" i="58"/>
  <c r="P121" i="58"/>
  <c r="P115" i="58" s="1"/>
  <c r="P65" i="58" s="1"/>
  <c r="Q121" i="58"/>
  <c r="R121" i="58"/>
  <c r="S121" i="58"/>
  <c r="T121" i="58"/>
  <c r="U121" i="58"/>
  <c r="V121" i="58"/>
  <c r="W121" i="58"/>
  <c r="X121" i="58"/>
  <c r="Y121" i="58"/>
  <c r="Z121" i="58"/>
  <c r="Z115" i="58" s="1"/>
  <c r="Z65" i="58" s="1"/>
  <c r="AA121" i="58"/>
  <c r="AB121" i="58"/>
  <c r="AC121" i="58"/>
  <c r="AD121" i="58"/>
  <c r="AE121" i="58"/>
  <c r="AF121" i="58"/>
  <c r="AG121" i="58"/>
  <c r="AH121" i="58"/>
  <c r="AI121" i="58"/>
  <c r="AJ121" i="58"/>
  <c r="AJ115" i="58" s="1"/>
  <c r="AJ65" i="58" s="1"/>
  <c r="E127" i="58"/>
  <c r="F127" i="58"/>
  <c r="F114" i="58" s="1"/>
  <c r="G127" i="58"/>
  <c r="H127" i="58"/>
  <c r="H114" i="58" s="1"/>
  <c r="I127" i="58"/>
  <c r="I114" i="58" s="1"/>
  <c r="J127" i="58"/>
  <c r="J114" i="58" s="1"/>
  <c r="K127" i="58"/>
  <c r="L127" i="58"/>
  <c r="M127" i="58"/>
  <c r="N127" i="58"/>
  <c r="O127" i="58"/>
  <c r="P127" i="58"/>
  <c r="P114" i="58" s="1"/>
  <c r="Q127" i="58"/>
  <c r="R127" i="58"/>
  <c r="R114" i="58" s="1"/>
  <c r="S127" i="58"/>
  <c r="S114" i="58" s="1"/>
  <c r="T127" i="58"/>
  <c r="T114" i="58" s="1"/>
  <c r="U127" i="58"/>
  <c r="V127" i="58"/>
  <c r="W127" i="58"/>
  <c r="X127" i="58"/>
  <c r="Y127" i="58"/>
  <c r="Z127" i="58"/>
  <c r="Z114" i="58" s="1"/>
  <c r="AA127" i="58"/>
  <c r="AB127" i="58"/>
  <c r="AB114" i="58" s="1"/>
  <c r="AC127" i="58"/>
  <c r="AC114" i="58" s="1"/>
  <c r="AD127" i="58"/>
  <c r="AD114" i="58" s="1"/>
  <c r="AE127" i="58"/>
  <c r="AF127" i="58"/>
  <c r="AG127" i="58"/>
  <c r="AH127" i="58"/>
  <c r="AI127" i="58"/>
  <c r="AJ127" i="58"/>
  <c r="AJ114" i="58" s="1"/>
  <c r="G130" i="58"/>
  <c r="H130" i="58"/>
  <c r="H113" i="58" s="1"/>
  <c r="I130" i="58"/>
  <c r="J130" i="58"/>
  <c r="J113" i="58" s="1"/>
  <c r="K130" i="58"/>
  <c r="P130" i="58"/>
  <c r="U130" i="58"/>
  <c r="Z130" i="58"/>
  <c r="Z132" i="58" s="1"/>
  <c r="V130" i="58" s="1"/>
  <c r="AJ130" i="58"/>
  <c r="P132" i="58"/>
  <c r="L130" i="58" s="1"/>
  <c r="U132" i="58"/>
  <c r="Q130" i="58" s="1"/>
  <c r="AJ132" i="58"/>
  <c r="AA130" i="58" s="1"/>
  <c r="V72" i="40"/>
  <c r="V66" i="40"/>
  <c r="V67" i="40"/>
  <c r="V68" i="40"/>
  <c r="V69" i="40"/>
  <c r="V70" i="40"/>
  <c r="V71" i="40"/>
  <c r="AD5" i="62" l="1"/>
  <c r="AM10" i="62"/>
  <c r="AN5" i="62"/>
  <c r="AB9" i="62"/>
  <c r="AA10" i="62"/>
  <c r="M130" i="58"/>
  <c r="L113" i="58"/>
  <c r="W63" i="58"/>
  <c r="E63" i="58"/>
  <c r="AA115" i="58"/>
  <c r="AA65" i="58" s="1"/>
  <c r="V63" i="58"/>
  <c r="D63" i="58"/>
  <c r="AA63" i="58"/>
  <c r="G63" i="58"/>
  <c r="W130" i="58"/>
  <c r="V113" i="58"/>
  <c r="AH63" i="58"/>
  <c r="AE63" i="58"/>
  <c r="U63" i="58"/>
  <c r="K63" i="58"/>
  <c r="AJ63" i="58"/>
  <c r="Z63" i="58"/>
  <c r="P63" i="58"/>
  <c r="F63" i="58"/>
  <c r="AD63" i="58"/>
  <c r="T63" i="58"/>
  <c r="J63" i="58"/>
  <c r="AF63" i="58"/>
  <c r="M63" i="58"/>
  <c r="AC63" i="58"/>
  <c r="S63" i="58"/>
  <c r="L63" i="58"/>
  <c r="I63" i="58"/>
  <c r="V115" i="58"/>
  <c r="V65" i="58" s="1"/>
  <c r="N63" i="58"/>
  <c r="L115" i="58"/>
  <c r="L65" i="58" s="1"/>
  <c r="AA113" i="58"/>
  <c r="AB130" i="58"/>
  <c r="J115" i="58"/>
  <c r="J65" i="58" s="1"/>
  <c r="Y63" i="58"/>
  <c r="AB63" i="58"/>
  <c r="R63" i="58"/>
  <c r="H63" i="58"/>
  <c r="Q113" i="58"/>
  <c r="Q115" i="58" s="1"/>
  <c r="Q65" i="58" s="1"/>
  <c r="R130" i="58"/>
  <c r="I115" i="58"/>
  <c r="I65" i="58" s="1"/>
  <c r="X63" i="58"/>
  <c r="AI27" i="58"/>
  <c r="Y27" i="58"/>
  <c r="O27" i="58"/>
  <c r="E27" i="58"/>
  <c r="O117" i="58"/>
  <c r="Q60" i="58"/>
  <c r="Q63" i="58" s="1"/>
  <c r="J27" i="58"/>
  <c r="T27" i="58"/>
  <c r="AC27" i="58"/>
  <c r="S27" i="58"/>
  <c r="I27" i="58"/>
  <c r="C76" i="40"/>
  <c r="B65" i="54"/>
  <c r="C72" i="54"/>
  <c r="D72" i="54" s="1"/>
  <c r="B72" i="54"/>
  <c r="D71" i="54"/>
  <c r="D70" i="54"/>
  <c r="D69" i="54"/>
  <c r="AC9" i="62" l="1"/>
  <c r="AB10" i="62"/>
  <c r="AN10" i="62"/>
  <c r="AO5" i="62"/>
  <c r="AE5" i="62"/>
  <c r="AB113" i="58"/>
  <c r="AB115" i="58" s="1"/>
  <c r="AB65" i="58" s="1"/>
  <c r="AC130" i="58"/>
  <c r="W113" i="58"/>
  <c r="W115" i="58" s="1"/>
  <c r="W65" i="58" s="1"/>
  <c r="X130" i="58"/>
  <c r="R113" i="58"/>
  <c r="R115" i="58" s="1"/>
  <c r="R65" i="58" s="1"/>
  <c r="S130" i="58"/>
  <c r="M113" i="58"/>
  <c r="M115" i="58" s="1"/>
  <c r="M65" i="58" s="1"/>
  <c r="N130" i="58"/>
  <c r="M72" i="40"/>
  <c r="L72" i="40"/>
  <c r="R72" i="40"/>
  <c r="Q72" i="40"/>
  <c r="I52" i="40"/>
  <c r="I53" i="40"/>
  <c r="I54" i="40"/>
  <c r="I55" i="40"/>
  <c r="I51" i="40"/>
  <c r="H51" i="40"/>
  <c r="H52" i="40"/>
  <c r="H53" i="40"/>
  <c r="H54" i="40"/>
  <c r="H55" i="40"/>
  <c r="G52" i="40"/>
  <c r="G53" i="40"/>
  <c r="G54" i="40"/>
  <c r="G55" i="40"/>
  <c r="G51" i="40"/>
  <c r="AF5" i="62" l="1"/>
  <c r="AD9" i="62"/>
  <c r="AC10" i="62"/>
  <c r="AP5" i="62"/>
  <c r="AO10" i="62"/>
  <c r="AC113" i="58"/>
  <c r="AC115" i="58" s="1"/>
  <c r="AC65" i="58" s="1"/>
  <c r="AD130" i="58"/>
  <c r="S113" i="58"/>
  <c r="S115" i="58" s="1"/>
  <c r="S65" i="58" s="1"/>
  <c r="T130" i="58"/>
  <c r="T113" i="58" s="1"/>
  <c r="T115" i="58" s="1"/>
  <c r="T65" i="58" s="1"/>
  <c r="X113" i="58"/>
  <c r="X115" i="58" s="1"/>
  <c r="X65" i="58" s="1"/>
  <c r="Y130" i="58"/>
  <c r="Y113" i="58" s="1"/>
  <c r="Y115" i="58" s="1"/>
  <c r="Y65" i="58" s="1"/>
  <c r="O130" i="58"/>
  <c r="O113" i="58" s="1"/>
  <c r="O115" i="58" s="1"/>
  <c r="O65" i="58" s="1"/>
  <c r="N113" i="58"/>
  <c r="N115" i="58" s="1"/>
  <c r="N65" i="58" s="1"/>
  <c r="A76" i="40"/>
  <c r="B60" i="40"/>
  <c r="AP10" i="62" l="1"/>
  <c r="AQ5" i="62"/>
  <c r="AE9" i="62"/>
  <c r="AD10" i="62"/>
  <c r="AJ76" i="40"/>
  <c r="AH76" i="40"/>
  <c r="AK76" i="40"/>
  <c r="AI76" i="40"/>
  <c r="AA76" i="40"/>
  <c r="AB76" i="40"/>
  <c r="T76" i="40"/>
  <c r="U76" i="40"/>
  <c r="AD113" i="58"/>
  <c r="AD115" i="58" s="1"/>
  <c r="AD65" i="58" s="1"/>
  <c r="AE130" i="58"/>
  <c r="O76" i="40"/>
  <c r="R76" i="40"/>
  <c r="Q76" i="40"/>
  <c r="M76" i="40"/>
  <c r="L76" i="40"/>
  <c r="C101" i="53"/>
  <c r="I28" i="61" l="1"/>
  <c r="C71" i="61"/>
  <c r="C28" i="61"/>
  <c r="F71" i="61"/>
  <c r="AF9" i="62"/>
  <c r="AF10" i="62" s="1"/>
  <c r="AE10" i="62"/>
  <c r="AQ10" i="62"/>
  <c r="AR5" i="62"/>
  <c r="AC76" i="40"/>
  <c r="V76" i="40"/>
  <c r="AE113" i="58"/>
  <c r="AE115" i="58" s="1"/>
  <c r="AE65" i="58" s="1"/>
  <c r="AF130" i="58"/>
  <c r="P30" i="34"/>
  <c r="F28" i="61" l="1"/>
  <c r="C74" i="61"/>
  <c r="C75" i="61" s="1"/>
  <c r="C80" i="61"/>
  <c r="AS5" i="62"/>
  <c r="AR10" i="62"/>
  <c r="AE76" i="40"/>
  <c r="AF76" i="40" s="1"/>
  <c r="X76" i="40"/>
  <c r="Y76" i="40" s="1"/>
  <c r="AG130" i="58"/>
  <c r="AF113" i="58"/>
  <c r="AF115" i="58" s="1"/>
  <c r="AF65" i="58" s="1"/>
  <c r="DG24" i="61"/>
  <c r="BU24" i="61"/>
  <c r="AA24" i="61" s="1"/>
  <c r="I24" i="61"/>
  <c r="DM24" i="61" s="1"/>
  <c r="P22" i="34"/>
  <c r="P28" i="34"/>
  <c r="P12" i="34"/>
  <c r="P10" i="34"/>
  <c r="P14" i="34"/>
  <c r="AE47" i="61"/>
  <c r="D14" i="34"/>
  <c r="D13" i="34"/>
  <c r="D12" i="34"/>
  <c r="C6" i="34"/>
  <c r="B6" i="34"/>
  <c r="N14" i="34"/>
  <c r="N13" i="34"/>
  <c r="N12" i="34"/>
  <c r="AT5" i="62" l="1"/>
  <c r="AS10" i="62"/>
  <c r="AH130" i="58"/>
  <c r="AG113" i="58"/>
  <c r="AG115" i="58" s="1"/>
  <c r="AG65" i="58" s="1"/>
  <c r="N15" i="34"/>
  <c r="AT10" i="62" l="1"/>
  <c r="AU5" i="62"/>
  <c r="AH113" i="58"/>
  <c r="AH115" i="58" s="1"/>
  <c r="AH65" i="58" s="1"/>
  <c r="AI130" i="58"/>
  <c r="AI113" i="58" s="1"/>
  <c r="AI115" i="58" s="1"/>
  <c r="AI65" i="58" s="1"/>
  <c r="Q3" i="34"/>
  <c r="BU22" i="61"/>
  <c r="AA22" i="61" s="1"/>
  <c r="AV5" i="62" l="1"/>
  <c r="AU10" i="62"/>
  <c r="C83" i="61"/>
  <c r="C67" i="61"/>
  <c r="F55" i="61"/>
  <c r="C55" i="61"/>
  <c r="AA41" i="61"/>
  <c r="BH40" i="61"/>
  <c r="BG40" i="61"/>
  <c r="BF40" i="61"/>
  <c r="BE40" i="61"/>
  <c r="BD40" i="61"/>
  <c r="BC40" i="61"/>
  <c r="BB40" i="61"/>
  <c r="BA40" i="61"/>
  <c r="AZ40" i="61"/>
  <c r="AY40" i="61"/>
  <c r="AX40" i="61"/>
  <c r="AW40" i="61"/>
  <c r="AV40" i="61"/>
  <c r="AU40" i="61"/>
  <c r="AT40" i="61"/>
  <c r="AS40" i="61"/>
  <c r="AR40" i="61"/>
  <c r="AQ40" i="61"/>
  <c r="AP40" i="61"/>
  <c r="AN40" i="61"/>
  <c r="AM40" i="61"/>
  <c r="AL40" i="61"/>
  <c r="AK40" i="61"/>
  <c r="AJ40" i="61"/>
  <c r="AI40" i="61"/>
  <c r="AH40" i="61"/>
  <c r="AG40" i="61"/>
  <c r="AF40" i="61"/>
  <c r="AE40" i="61"/>
  <c r="AA40" i="61"/>
  <c r="BY39" i="61"/>
  <c r="AE39" i="61" s="1"/>
  <c r="BI39" i="61"/>
  <c r="AA39" i="61"/>
  <c r="BX38" i="61"/>
  <c r="AD38" i="61" s="1"/>
  <c r="BW38" i="61"/>
  <c r="AC38" i="61" s="1"/>
  <c r="BV38" i="61"/>
  <c r="BV41" i="61" s="1"/>
  <c r="AA38" i="61"/>
  <c r="DG36" i="61"/>
  <c r="BU36" i="61"/>
  <c r="AA36" i="61" s="1"/>
  <c r="I36" i="61"/>
  <c r="DG34" i="61"/>
  <c r="BU34" i="61"/>
  <c r="AA34" i="61" s="1"/>
  <c r="I34" i="61"/>
  <c r="AG76" i="40" s="1"/>
  <c r="DG32" i="61"/>
  <c r="BU32" i="61"/>
  <c r="AA32" i="61" s="1"/>
  <c r="I32" i="61"/>
  <c r="DG30" i="61"/>
  <c r="BU30" i="61"/>
  <c r="AA30" i="61" s="1"/>
  <c r="I30" i="61"/>
  <c r="Z76" i="40" s="1"/>
  <c r="DM28" i="61"/>
  <c r="DG26" i="61"/>
  <c r="BU26" i="61"/>
  <c r="DG20" i="61"/>
  <c r="BU20" i="61"/>
  <c r="AA20" i="61" s="1"/>
  <c r="I20" i="61"/>
  <c r="B98" i="53" s="1"/>
  <c r="DG18" i="61"/>
  <c r="BU18" i="61"/>
  <c r="AA18" i="61" s="1"/>
  <c r="I18" i="61"/>
  <c r="DG16" i="61"/>
  <c r="BU16" i="61"/>
  <c r="AA16" i="61" s="1"/>
  <c r="I16" i="61"/>
  <c r="DM16" i="61" s="1"/>
  <c r="DG14" i="61"/>
  <c r="BU14" i="61"/>
  <c r="AA14" i="61" s="1"/>
  <c r="AE14" i="61"/>
  <c r="I14" i="61"/>
  <c r="DG12" i="61"/>
  <c r="BU12" i="61"/>
  <c r="AA12" i="61" s="1"/>
  <c r="AE12" i="61"/>
  <c r="I12" i="61"/>
  <c r="DG10" i="61"/>
  <c r="BU10" i="61"/>
  <c r="AA10" i="61" s="1"/>
  <c r="AE10" i="61"/>
  <c r="I10" i="61"/>
  <c r="DM10" i="61" s="1"/>
  <c r="DG8" i="61"/>
  <c r="BU8" i="61"/>
  <c r="AA8" i="61" s="1"/>
  <c r="I8" i="61"/>
  <c r="DM6" i="61"/>
  <c r="DG6" i="61"/>
  <c r="BU6" i="61"/>
  <c r="I6" i="61"/>
  <c r="F6" i="61" s="1"/>
  <c r="AA5" i="61"/>
  <c r="BZ4" i="61"/>
  <c r="AA4" i="61"/>
  <c r="BI2" i="61"/>
  <c r="BI53" i="61" s="1"/>
  <c r="BH2" i="61"/>
  <c r="BH53" i="61" s="1"/>
  <c r="BG2" i="61"/>
  <c r="BG53" i="61" s="1"/>
  <c r="BF2" i="61"/>
  <c r="BF53" i="61" s="1"/>
  <c r="BE2" i="61"/>
  <c r="BE53" i="61" s="1"/>
  <c r="BD2" i="61"/>
  <c r="BD53" i="61" s="1"/>
  <c r="BC2" i="61"/>
  <c r="BC53" i="61" s="1"/>
  <c r="BB2" i="61"/>
  <c r="BB53" i="61" s="1"/>
  <c r="BA2" i="61"/>
  <c r="BA53" i="61" s="1"/>
  <c r="AZ2" i="61"/>
  <c r="AZ53" i="61" s="1"/>
  <c r="AY2" i="61"/>
  <c r="AY53" i="61" s="1"/>
  <c r="AX2" i="61"/>
  <c r="AX53" i="61" s="1"/>
  <c r="AW2" i="61"/>
  <c r="AW53" i="61" s="1"/>
  <c r="AV2" i="61"/>
  <c r="AV53" i="61" s="1"/>
  <c r="AU2" i="61"/>
  <c r="AU53" i="61" s="1"/>
  <c r="AT2" i="61"/>
  <c r="AT53" i="61" s="1"/>
  <c r="AS2" i="61"/>
  <c r="AS53" i="61" s="1"/>
  <c r="AR2" i="61"/>
  <c r="AR53" i="61" s="1"/>
  <c r="AQ2" i="61"/>
  <c r="AQ53" i="61" s="1"/>
  <c r="AP2" i="61"/>
  <c r="AP53" i="61" s="1"/>
  <c r="AO2" i="61"/>
  <c r="AO53" i="61" s="1"/>
  <c r="AN2" i="61"/>
  <c r="AN53" i="61" s="1"/>
  <c r="AM2" i="61"/>
  <c r="AM53" i="61" s="1"/>
  <c r="AL2" i="61"/>
  <c r="AL53" i="61" s="1"/>
  <c r="AK2" i="61"/>
  <c r="AK53" i="61" s="1"/>
  <c r="AJ2" i="61"/>
  <c r="AJ53" i="61" s="1"/>
  <c r="AI2" i="61"/>
  <c r="AI53" i="61" s="1"/>
  <c r="AH2" i="61"/>
  <c r="AH53" i="61" s="1"/>
  <c r="AG2" i="61"/>
  <c r="AG53" i="61" s="1"/>
  <c r="AF2" i="61"/>
  <c r="AF53" i="61" s="1"/>
  <c r="AE2" i="61"/>
  <c r="AE53" i="61" s="1"/>
  <c r="DC1" i="61"/>
  <c r="BI1" i="61" s="1"/>
  <c r="DB1" i="61"/>
  <c r="BH1" i="61" s="1"/>
  <c r="DA1" i="61"/>
  <c r="BG1" i="61" s="1"/>
  <c r="CZ1" i="61"/>
  <c r="BF1" i="61" s="1"/>
  <c r="CY1" i="61"/>
  <c r="BE1" i="61" s="1"/>
  <c r="CX1" i="61"/>
  <c r="BD1" i="61" s="1"/>
  <c r="CW1" i="61"/>
  <c r="BC1" i="61" s="1"/>
  <c r="CV1" i="61"/>
  <c r="BB1" i="61" s="1"/>
  <c r="CU1" i="61"/>
  <c r="BA1" i="61" s="1"/>
  <c r="CT1" i="61"/>
  <c r="AZ1" i="61" s="1"/>
  <c r="CS1" i="61"/>
  <c r="AY1" i="61" s="1"/>
  <c r="CR1" i="61"/>
  <c r="AX1" i="61" s="1"/>
  <c r="CQ1" i="61"/>
  <c r="CP1" i="61"/>
  <c r="AV1" i="61" s="1"/>
  <c r="CO1" i="61"/>
  <c r="AU1" i="61" s="1"/>
  <c r="CN1" i="61"/>
  <c r="AT1" i="61" s="1"/>
  <c r="CM1" i="61"/>
  <c r="AS1" i="61" s="1"/>
  <c r="CL1" i="61"/>
  <c r="AR1" i="61" s="1"/>
  <c r="CK1" i="61"/>
  <c r="AQ1" i="61" s="1"/>
  <c r="CJ1" i="61"/>
  <c r="AP1" i="61" s="1"/>
  <c r="CI1" i="61"/>
  <c r="AO1" i="61" s="1"/>
  <c r="CH1" i="61"/>
  <c r="AN1" i="61" s="1"/>
  <c r="CG1" i="61"/>
  <c r="AM1" i="61" s="1"/>
  <c r="CF1" i="61"/>
  <c r="AL1" i="61" s="1"/>
  <c r="CE1" i="61"/>
  <c r="AK1" i="61" s="1"/>
  <c r="CD1" i="61"/>
  <c r="AJ1" i="61" s="1"/>
  <c r="CC1" i="61"/>
  <c r="AI1" i="61" s="1"/>
  <c r="CB1" i="61"/>
  <c r="AH1" i="61" s="1"/>
  <c r="CA1" i="61"/>
  <c r="AG1" i="61" s="1"/>
  <c r="BZ1" i="61"/>
  <c r="AF1" i="61" s="1"/>
  <c r="BY1" i="61"/>
  <c r="AE1" i="61" s="1"/>
  <c r="BX1" i="61"/>
  <c r="BW1" i="61"/>
  <c r="AW1" i="61"/>
  <c r="AW5" i="62" l="1"/>
  <c r="AV10" i="62"/>
  <c r="AD76" i="40"/>
  <c r="DM34" i="61"/>
  <c r="W76" i="40"/>
  <c r="B97" i="53"/>
  <c r="F83" i="61"/>
  <c r="I83" i="61" s="1"/>
  <c r="F67" i="61"/>
  <c r="I67" i="61" s="1"/>
  <c r="DM32" i="61"/>
  <c r="AB38" i="61"/>
  <c r="BX41" i="61"/>
  <c r="DM30" i="61"/>
  <c r="DM20" i="61"/>
  <c r="DM36" i="61"/>
  <c r="I55" i="61"/>
  <c r="DM12" i="61"/>
  <c r="CA4" i="61"/>
  <c r="AF4" i="61"/>
  <c r="DM18" i="61"/>
  <c r="DM8" i="61"/>
  <c r="DM14" i="61"/>
  <c r="BW41" i="61"/>
  <c r="F74" i="61" l="1"/>
  <c r="F75" i="61" s="1"/>
  <c r="F80" i="61"/>
  <c r="I80" i="61" s="1"/>
  <c r="AW10" i="62"/>
  <c r="AX5" i="62"/>
  <c r="AG4" i="61"/>
  <c r="CB4" i="61"/>
  <c r="AY5" i="62" l="1"/>
  <c r="AX10" i="62"/>
  <c r="I74" i="61"/>
  <c r="I75" i="61" s="1"/>
  <c r="CC4" i="61"/>
  <c r="AH4" i="61"/>
  <c r="AY10" i="62" l="1"/>
  <c r="AZ5" i="62"/>
  <c r="AZ10" i="62" s="1"/>
  <c r="CD4" i="61"/>
  <c r="AI4" i="61"/>
  <c r="AJ4" i="61" l="1"/>
  <c r="CE4" i="61"/>
  <c r="AK4" i="61" l="1"/>
  <c r="CF4" i="61"/>
  <c r="CG4" i="61" l="1"/>
  <c r="AL4" i="61"/>
  <c r="CH4" i="61" l="1"/>
  <c r="AM4" i="61"/>
  <c r="B33" i="53"/>
  <c r="B34" i="53"/>
  <c r="B35" i="53"/>
  <c r="B31" i="53"/>
  <c r="B29" i="53"/>
  <c r="C39" i="53"/>
  <c r="C43" i="53"/>
  <c r="C33" i="53"/>
  <c r="D43" i="53"/>
  <c r="D33" i="53"/>
  <c r="D35" i="53"/>
  <c r="AN4" i="61" l="1"/>
  <c r="CI4" i="61"/>
  <c r="C31" i="53"/>
  <c r="C53" i="53" s="1"/>
  <c r="D29" i="53"/>
  <c r="D54" i="53"/>
  <c r="D62" i="53" s="1"/>
  <c r="D58" i="53"/>
  <c r="D64" i="53" s="1"/>
  <c r="C58" i="53"/>
  <c r="C69" i="53" s="1"/>
  <c r="C34" i="53"/>
  <c r="C51" i="53" s="1"/>
  <c r="C42" i="53"/>
  <c r="D31" i="53"/>
  <c r="D53" i="53" s="1"/>
  <c r="D37" i="53"/>
  <c r="C37" i="53"/>
  <c r="D38" i="53"/>
  <c r="D39" i="53"/>
  <c r="B36" i="53"/>
  <c r="C30" i="53"/>
  <c r="D30" i="53"/>
  <c r="D34" i="53"/>
  <c r="D36" i="53" s="1"/>
  <c r="D41" i="53"/>
  <c r="D42" i="53"/>
  <c r="C35" i="53"/>
  <c r="C29" i="53"/>
  <c r="C38" i="53"/>
  <c r="C41" i="53"/>
  <c r="B30" i="53"/>
  <c r="B32" i="53" s="1"/>
  <c r="C66" i="53" l="1"/>
  <c r="AO4" i="61"/>
  <c r="CJ4" i="61"/>
  <c r="D50" i="53"/>
  <c r="C64" i="53"/>
  <c r="D55" i="53"/>
  <c r="D67" i="53"/>
  <c r="C54" i="53"/>
  <c r="C62" i="53" s="1"/>
  <c r="D69" i="53"/>
  <c r="C61" i="53"/>
  <c r="C57" i="53"/>
  <c r="C68" i="53" s="1"/>
  <c r="D57" i="53"/>
  <c r="D63" i="53" s="1"/>
  <c r="C50" i="53"/>
  <c r="C52" i="53" s="1"/>
  <c r="D51" i="53"/>
  <c r="D61" i="53" s="1"/>
  <c r="C40" i="53"/>
  <c r="C56" i="53" s="1"/>
  <c r="D40" i="53"/>
  <c r="D56" i="53" s="1"/>
  <c r="D32" i="53"/>
  <c r="C44" i="53"/>
  <c r="B45" i="53"/>
  <c r="C36" i="53"/>
  <c r="C32" i="53"/>
  <c r="D44" i="53"/>
  <c r="CK4" i="61" l="1"/>
  <c r="AP4" i="61"/>
  <c r="C55" i="53"/>
  <c r="C63" i="53"/>
  <c r="C65" i="53" s="1"/>
  <c r="D65" i="53"/>
  <c r="D66" i="53"/>
  <c r="D68" i="53"/>
  <c r="C60" i="53"/>
  <c r="D59" i="53"/>
  <c r="C59" i="53"/>
  <c r="D60" i="53"/>
  <c r="C67" i="53"/>
  <c r="D52" i="53"/>
  <c r="D45" i="53"/>
  <c r="D49" i="53" s="1"/>
  <c r="C45" i="53"/>
  <c r="C49" i="53" s="1"/>
  <c r="AQ4" i="61" l="1"/>
  <c r="CL4" i="61"/>
  <c r="D70" i="53"/>
  <c r="C70" i="53"/>
  <c r="AR4" i="61" l="1"/>
  <c r="CM4" i="61"/>
  <c r="AS4" i="61" l="1"/>
  <c r="CN4" i="61"/>
  <c r="CO4" i="61" l="1"/>
  <c r="AT4" i="61"/>
  <c r="AU4" i="61" l="1"/>
  <c r="CP4" i="61"/>
  <c r="AV4" i="61" l="1"/>
  <c r="CQ4" i="61"/>
  <c r="AW4" i="61" l="1"/>
  <c r="CR4" i="61"/>
  <c r="CS4" i="61" l="1"/>
  <c r="AX4" i="61"/>
  <c r="CT4" i="61" l="1"/>
  <c r="AY4" i="61"/>
  <c r="AZ4" i="61" l="1"/>
  <c r="CU4" i="61"/>
  <c r="BA4" i="61" l="1"/>
  <c r="CV4" i="61"/>
  <c r="CW4" i="61" l="1"/>
  <c r="BB4" i="61"/>
  <c r="BC4" i="61" l="1"/>
  <c r="CX4" i="61"/>
  <c r="B23" i="54"/>
  <c r="H22" i="54"/>
  <c r="I22" i="54"/>
  <c r="G22" i="54"/>
  <c r="B14" i="54"/>
  <c r="BD4" i="61" l="1"/>
  <c r="CY4" i="61"/>
  <c r="B12" i="54"/>
  <c r="B18" i="54"/>
  <c r="B16" i="54"/>
  <c r="F77" i="61" l="1"/>
  <c r="C46" i="61"/>
  <c r="C77" i="61"/>
  <c r="BE4" i="61"/>
  <c r="CZ4" i="61"/>
  <c r="B21" i="54"/>
  <c r="B7" i="54"/>
  <c r="B8" i="54" s="1"/>
  <c r="F46" i="61" l="1"/>
  <c r="F50" i="61" s="1"/>
  <c r="F52" i="61" s="1"/>
  <c r="C50" i="61"/>
  <c r="I77" i="61"/>
  <c r="C47" i="61"/>
  <c r="C48" i="61"/>
  <c r="C49" i="61"/>
  <c r="DA4" i="61"/>
  <c r="BF4" i="61"/>
  <c r="I46" i="61" l="1"/>
  <c r="F48" i="61"/>
  <c r="I48" i="61" s="1"/>
  <c r="F49" i="61"/>
  <c r="I49" i="61" s="1"/>
  <c r="F47" i="61"/>
  <c r="I47" i="61" s="1"/>
  <c r="I50" i="61"/>
  <c r="C52" i="61"/>
  <c r="I52" i="61" s="1"/>
  <c r="DB4" i="61"/>
  <c r="BG4" i="61"/>
  <c r="BH4" i="61" l="1"/>
  <c r="DC4" i="61"/>
  <c r="BI4" i="61" l="1"/>
  <c r="A37" i="11" l="1"/>
  <c r="B29" i="11" l="1"/>
  <c r="B30" i="11" s="1"/>
  <c r="B33" i="11" s="1"/>
  <c r="H21" i="11" s="1"/>
  <c r="B51" i="54" l="1"/>
  <c r="C41" i="54"/>
  <c r="B40" i="54"/>
  <c r="C30" i="54"/>
  <c r="B52" i="54" l="1"/>
  <c r="E19" i="11"/>
  <c r="B27" i="11" l="1"/>
  <c r="B28" i="11" s="1"/>
  <c r="B32" i="11" s="1"/>
  <c r="C58" i="61"/>
  <c r="C52" i="54"/>
  <c r="C51" i="54"/>
  <c r="C40" i="54"/>
  <c r="F58" i="61" l="1"/>
  <c r="F59" i="61" s="1"/>
  <c r="F62" i="61"/>
  <c r="F64" i="61" s="1"/>
  <c r="C62" i="61"/>
  <c r="C60" i="61"/>
  <c r="C59" i="61"/>
  <c r="F61" i="61"/>
  <c r="C61" i="61"/>
  <c r="G21" i="11"/>
  <c r="H20" i="11"/>
  <c r="I58" i="61" l="1"/>
  <c r="F60" i="61"/>
  <c r="I60" i="61" s="1"/>
  <c r="I61" i="61"/>
  <c r="DL36" i="61"/>
  <c r="DN36" i="61" s="1"/>
  <c r="DE36" i="61"/>
  <c r="DD36" i="61" s="1"/>
  <c r="I62" i="61"/>
  <c r="C64" i="61"/>
  <c r="I64" i="61" s="1"/>
  <c r="I59" i="61"/>
  <c r="G20" i="11"/>
  <c r="B23" i="53"/>
  <c r="CI36" i="61" l="1"/>
  <c r="DF36" i="61"/>
  <c r="DH36" i="61" s="1"/>
  <c r="DC36" i="61"/>
  <c r="B24" i="53"/>
  <c r="B78" i="53" l="1"/>
  <c r="D88" i="53"/>
  <c r="D78" i="53"/>
  <c r="D86" i="53"/>
  <c r="B79" i="53"/>
  <c r="D80" i="53"/>
  <c r="D84" i="53"/>
  <c r="B83" i="53"/>
  <c r="B85" i="53"/>
  <c r="B80" i="53"/>
  <c r="D85" i="53"/>
  <c r="B86" i="53"/>
  <c r="DE22" i="61" s="1"/>
  <c r="B81" i="53"/>
  <c r="B84" i="53"/>
  <c r="D81" i="53"/>
  <c r="D83" i="53"/>
  <c r="D100" i="53"/>
  <c r="D79" i="53"/>
  <c r="B100" i="53"/>
  <c r="B88" i="53"/>
  <c r="DJ36" i="61"/>
  <c r="DK36" i="61"/>
  <c r="DB36" i="61" s="1"/>
  <c r="BI36" i="61"/>
  <c r="BI57" i="61" s="1"/>
  <c r="AO36" i="61"/>
  <c r="AO57" i="61" s="1"/>
  <c r="CH36" i="61"/>
  <c r="AO5" i="51"/>
  <c r="AO10" i="51"/>
  <c r="C16" i="51"/>
  <c r="P16" i="51"/>
  <c r="O16" i="51"/>
  <c r="N16" i="51"/>
  <c r="M16" i="51"/>
  <c r="L16" i="51"/>
  <c r="K16" i="51"/>
  <c r="J16" i="51"/>
  <c r="I16" i="51"/>
  <c r="G16" i="51"/>
  <c r="D16" i="51"/>
  <c r="B14" i="51"/>
  <c r="C17" i="51" s="1"/>
  <c r="B12" i="51"/>
  <c r="T11" i="51"/>
  <c r="U11" i="51" s="1"/>
  <c r="V11" i="51" s="1"/>
  <c r="W11" i="51" s="1"/>
  <c r="X11" i="51" s="1"/>
  <c r="Y11" i="51" s="1"/>
  <c r="Z11" i="51" s="1"/>
  <c r="AA11" i="51" s="1"/>
  <c r="AB11" i="51" s="1"/>
  <c r="AC11" i="51" s="1"/>
  <c r="AD11" i="51" s="1"/>
  <c r="AE11" i="51" s="1"/>
  <c r="AF11" i="51" s="1"/>
  <c r="AG11" i="51" s="1"/>
  <c r="AH11" i="51" s="1"/>
  <c r="AI11" i="51" s="1"/>
  <c r="S11" i="51"/>
  <c r="R11" i="51"/>
  <c r="Q11" i="51"/>
  <c r="P11" i="51"/>
  <c r="O11" i="51"/>
  <c r="N11" i="51"/>
  <c r="M11" i="51"/>
  <c r="L11" i="51"/>
  <c r="K11" i="51"/>
  <c r="J11" i="51"/>
  <c r="I11" i="51"/>
  <c r="H11" i="51"/>
  <c r="G11" i="51"/>
  <c r="F11" i="51"/>
  <c r="E11" i="51"/>
  <c r="D11" i="51"/>
  <c r="C11" i="51"/>
  <c r="C12" i="51" s="1"/>
  <c r="B4" i="51"/>
  <c r="J6" i="51"/>
  <c r="K6" i="51"/>
  <c r="L6" i="51"/>
  <c r="M6" i="51"/>
  <c r="N6" i="51"/>
  <c r="O6" i="51"/>
  <c r="P6" i="51"/>
  <c r="Q6" i="51"/>
  <c r="R6" i="51"/>
  <c r="S6" i="51"/>
  <c r="T6" i="51"/>
  <c r="U6" i="51"/>
  <c r="V6" i="51"/>
  <c r="W6" i="51"/>
  <c r="X6" i="51"/>
  <c r="Y6" i="51"/>
  <c r="Z6" i="51"/>
  <c r="AA6" i="51"/>
  <c r="AB6" i="51"/>
  <c r="AC6" i="51"/>
  <c r="AD6" i="51"/>
  <c r="AE6" i="51"/>
  <c r="AF6" i="51"/>
  <c r="AG6" i="51"/>
  <c r="AH6" i="51"/>
  <c r="AI6" i="51"/>
  <c r="F6" i="51"/>
  <c r="G6" i="51"/>
  <c r="H6" i="51"/>
  <c r="I6" i="51"/>
  <c r="E6" i="51"/>
  <c r="D6" i="51"/>
  <c r="C6" i="51"/>
  <c r="DL16" i="61" l="1"/>
  <c r="D99" i="53"/>
  <c r="D82" i="53" s="1"/>
  <c r="D87" i="53" s="1"/>
  <c r="C86" i="53"/>
  <c r="B99" i="53"/>
  <c r="B82" i="53" s="1"/>
  <c r="B87" i="53" s="1"/>
  <c r="DE16" i="61"/>
  <c r="DE10" i="61"/>
  <c r="DF10" i="61" s="1"/>
  <c r="DH10" i="61" s="1"/>
  <c r="DL8" i="61"/>
  <c r="DJ8" i="61" s="1"/>
  <c r="DC8" i="61" s="1"/>
  <c r="DL10" i="61"/>
  <c r="DN10" i="61" s="1"/>
  <c r="DE8" i="61"/>
  <c r="DD8" i="61" s="1"/>
  <c r="CI8" i="61" s="1"/>
  <c r="AO8" i="61" s="1"/>
  <c r="DE20" i="61"/>
  <c r="DL12" i="61"/>
  <c r="DJ12" i="61" s="1"/>
  <c r="DC12" i="61" s="1"/>
  <c r="DE18" i="61"/>
  <c r="DL18" i="61"/>
  <c r="DN18" i="61" s="1"/>
  <c r="DC18" i="61" s="1"/>
  <c r="DL20" i="61"/>
  <c r="DJ20" i="61" s="1"/>
  <c r="C100" i="53"/>
  <c r="C99" i="53" s="1"/>
  <c r="C82" i="53" s="1"/>
  <c r="DD22" i="61"/>
  <c r="DF22" i="61"/>
  <c r="DH22" i="61" s="1"/>
  <c r="CI22" i="61"/>
  <c r="AO22" i="61" s="1"/>
  <c r="DL22" i="61"/>
  <c r="AN36" i="61"/>
  <c r="AN57" i="61" s="1"/>
  <c r="CG36" i="61"/>
  <c r="DE12" i="61"/>
  <c r="BH36" i="61"/>
  <c r="BH57" i="61" s="1"/>
  <c r="DA36" i="61"/>
  <c r="C85" i="53"/>
  <c r="C7" i="51"/>
  <c r="D7" i="51" s="1"/>
  <c r="E7" i="51" s="1"/>
  <c r="F7" i="51" s="1"/>
  <c r="G7" i="51" s="1"/>
  <c r="H7" i="51" s="1"/>
  <c r="I7" i="51" s="1"/>
  <c r="J7" i="51" s="1"/>
  <c r="K7" i="51" s="1"/>
  <c r="L7" i="51" s="1"/>
  <c r="M7" i="51" s="1"/>
  <c r="N7" i="51" s="1"/>
  <c r="O7" i="51" s="1"/>
  <c r="P7" i="51" s="1"/>
  <c r="Q7" i="51" s="1"/>
  <c r="R7" i="51" s="1"/>
  <c r="S7" i="51" s="1"/>
  <c r="T7" i="51" s="1"/>
  <c r="U7" i="51" s="1"/>
  <c r="V7" i="51" s="1"/>
  <c r="W7" i="51" s="1"/>
  <c r="X7" i="51" s="1"/>
  <c r="Y7" i="51" s="1"/>
  <c r="Z7" i="51" s="1"/>
  <c r="AA7" i="51" s="1"/>
  <c r="AB7" i="51" s="1"/>
  <c r="AC7" i="51" s="1"/>
  <c r="AD7" i="51" s="1"/>
  <c r="AE7" i="51" s="1"/>
  <c r="AF7" i="51" s="1"/>
  <c r="AG7" i="51" s="1"/>
  <c r="AH7" i="51" s="1"/>
  <c r="AI7" i="51" s="1"/>
  <c r="AK7" i="51" s="1"/>
  <c r="C81" i="53"/>
  <c r="C79" i="53"/>
  <c r="C78" i="53"/>
  <c r="Q4" i="51"/>
  <c r="AG4" i="51"/>
  <c r="AC4" i="51"/>
  <c r="E4" i="51"/>
  <c r="U4" i="51"/>
  <c r="M4" i="51"/>
  <c r="C80" i="53"/>
  <c r="Y4" i="51"/>
  <c r="I4" i="51"/>
  <c r="D12" i="51"/>
  <c r="E12" i="51" s="1"/>
  <c r="F12" i="51" s="1"/>
  <c r="G12" i="51" s="1"/>
  <c r="H12" i="51" s="1"/>
  <c r="I12" i="51" s="1"/>
  <c r="J12" i="51" s="1"/>
  <c r="K12" i="51" s="1"/>
  <c r="L12" i="51" s="1"/>
  <c r="M12" i="51" s="1"/>
  <c r="N12" i="51" s="1"/>
  <c r="O12" i="51" s="1"/>
  <c r="P12" i="51" s="1"/>
  <c r="C4" i="51"/>
  <c r="AF4" i="51"/>
  <c r="AB4" i="51"/>
  <c r="X4" i="51"/>
  <c r="T4" i="51"/>
  <c r="P4" i="51"/>
  <c r="L4" i="51"/>
  <c r="H4" i="51"/>
  <c r="D4" i="51"/>
  <c r="B17" i="51"/>
  <c r="C14" i="51"/>
  <c r="D14" i="51" s="1"/>
  <c r="E14" i="51" s="1"/>
  <c r="F14" i="51" s="1"/>
  <c r="G14" i="51" s="1"/>
  <c r="H14" i="51" s="1"/>
  <c r="I14" i="51" s="1"/>
  <c r="J14" i="51" s="1"/>
  <c r="K14" i="51" s="1"/>
  <c r="L14" i="51" s="1"/>
  <c r="M14" i="51" s="1"/>
  <c r="N14" i="51" s="1"/>
  <c r="O14" i="51" s="1"/>
  <c r="P14" i="51" s="1"/>
  <c r="Q14" i="51" s="1"/>
  <c r="R14" i="51" s="1"/>
  <c r="S14" i="51" s="1"/>
  <c r="T14" i="51" s="1"/>
  <c r="U14" i="51" s="1"/>
  <c r="V14" i="51" s="1"/>
  <c r="W14" i="51" s="1"/>
  <c r="X14" i="51" s="1"/>
  <c r="Y14" i="51" s="1"/>
  <c r="Z14" i="51" s="1"/>
  <c r="AA14" i="51" s="1"/>
  <c r="AB14" i="51" s="1"/>
  <c r="AC14" i="51" s="1"/>
  <c r="AD14" i="51" s="1"/>
  <c r="AE14" i="51" s="1"/>
  <c r="AF14" i="51" s="1"/>
  <c r="AG14" i="51" s="1"/>
  <c r="AH14" i="51" s="1"/>
  <c r="AI14" i="51" s="1"/>
  <c r="AI4" i="51"/>
  <c r="AE4" i="51"/>
  <c r="AA4" i="51"/>
  <c r="W4" i="51"/>
  <c r="S4" i="51"/>
  <c r="O4" i="51"/>
  <c r="K4" i="51"/>
  <c r="G4" i="51"/>
  <c r="B7" i="51"/>
  <c r="AH4" i="51"/>
  <c r="AD4" i="51"/>
  <c r="Z4" i="51"/>
  <c r="V4" i="51"/>
  <c r="R4" i="51"/>
  <c r="N4" i="51"/>
  <c r="J4" i="51"/>
  <c r="F4" i="51"/>
  <c r="D17" i="51"/>
  <c r="E17" i="51" s="1"/>
  <c r="F17" i="51" s="1"/>
  <c r="G17" i="51" s="1"/>
  <c r="H17" i="51" s="1"/>
  <c r="I17" i="51" s="1"/>
  <c r="J17" i="51" s="1"/>
  <c r="K17" i="51" s="1"/>
  <c r="L17" i="51" s="1"/>
  <c r="M17" i="51" s="1"/>
  <c r="N17" i="51" s="1"/>
  <c r="O17" i="51" s="1"/>
  <c r="DD10" i="61" l="1"/>
  <c r="CI10" i="61" s="1"/>
  <c r="DJ10" i="61"/>
  <c r="DC10" i="61" s="1"/>
  <c r="BI10" i="61" s="1"/>
  <c r="DN12" i="61"/>
  <c r="DN20" i="61"/>
  <c r="DC20" i="61" s="1"/>
  <c r="BI20" i="61" s="1"/>
  <c r="DJ18" i="61"/>
  <c r="DF8" i="61"/>
  <c r="DH8" i="61" s="1"/>
  <c r="CH8" i="61" s="1"/>
  <c r="CG8" i="61" s="1"/>
  <c r="DN8" i="61"/>
  <c r="C87" i="53"/>
  <c r="DN22" i="61"/>
  <c r="DJ22" i="61"/>
  <c r="DC22" i="61" s="1"/>
  <c r="BI22" i="61" s="1"/>
  <c r="DK22" i="61"/>
  <c r="CH22" i="61"/>
  <c r="DF12" i="61"/>
  <c r="DH12" i="61" s="1"/>
  <c r="DD12" i="61"/>
  <c r="CI12" i="61" s="1"/>
  <c r="DK12" i="61" s="1"/>
  <c r="DB12" i="61" s="1"/>
  <c r="BI18" i="61"/>
  <c r="DD18" i="61"/>
  <c r="CI18" i="61" s="1"/>
  <c r="AO18" i="61" s="1"/>
  <c r="DF18" i="61"/>
  <c r="DH18" i="61" s="1"/>
  <c r="BI8" i="61"/>
  <c r="DK8" i="61"/>
  <c r="DB8" i="61" s="1"/>
  <c r="AO10" i="61"/>
  <c r="CH10" i="61"/>
  <c r="BG36" i="61"/>
  <c r="BG57" i="61" s="1"/>
  <c r="CZ36" i="61"/>
  <c r="BI12" i="61"/>
  <c r="CF36" i="61"/>
  <c r="AM36" i="61"/>
  <c r="AM57" i="61" s="1"/>
  <c r="C88" i="53"/>
  <c r="C83" i="53"/>
  <c r="AJ12" i="51"/>
  <c r="P17" i="51"/>
  <c r="AJ17" i="51"/>
  <c r="B91" i="53" s="1"/>
  <c r="B92" i="53" s="1"/>
  <c r="AJ7" i="51"/>
  <c r="B89" i="53" s="1"/>
  <c r="B94" i="53" s="1"/>
  <c r="AL7" i="51"/>
  <c r="Q12" i="51"/>
  <c r="R12" i="51" s="1"/>
  <c r="S12" i="51" s="1"/>
  <c r="T12" i="51" s="1"/>
  <c r="U12" i="51" s="1"/>
  <c r="V12" i="51" s="1"/>
  <c r="W12" i="51" s="1"/>
  <c r="X12" i="51" s="1"/>
  <c r="Y12" i="51" s="1"/>
  <c r="Z12" i="51" s="1"/>
  <c r="AA12" i="51" s="1"/>
  <c r="AB12" i="51" s="1"/>
  <c r="AC12" i="51" s="1"/>
  <c r="AD12" i="51" s="1"/>
  <c r="AE12" i="51" s="1"/>
  <c r="AF12" i="51" s="1"/>
  <c r="AG12" i="51" s="1"/>
  <c r="AH12" i="51" s="1"/>
  <c r="AI12" i="51" s="1"/>
  <c r="AL12" i="51" s="1"/>
  <c r="DK10" i="61" l="1"/>
  <c r="DB10" i="61" s="1"/>
  <c r="DA10" i="61" s="1"/>
  <c r="AN8" i="61"/>
  <c r="DB22" i="61"/>
  <c r="BH22" i="61" s="1"/>
  <c r="AN22" i="61"/>
  <c r="CG22" i="61"/>
  <c r="BH12" i="61"/>
  <c r="DA12" i="61"/>
  <c r="BH8" i="61"/>
  <c r="DA8" i="61"/>
  <c r="DD20" i="61"/>
  <c r="CI20" i="61" s="1"/>
  <c r="DF20" i="61"/>
  <c r="DH20" i="61" s="1"/>
  <c r="CE36" i="61"/>
  <c r="AL36" i="61"/>
  <c r="AL57" i="61" s="1"/>
  <c r="CY36" i="61"/>
  <c r="BF36" i="61"/>
  <c r="BF57" i="61" s="1"/>
  <c r="DE6" i="61"/>
  <c r="DK18" i="61"/>
  <c r="DB18" i="61" s="1"/>
  <c r="B90" i="53"/>
  <c r="B93" i="53" s="1"/>
  <c r="DD16" i="61"/>
  <c r="CI16" i="61" s="1"/>
  <c r="AO16" i="61" s="1"/>
  <c r="DF16" i="61"/>
  <c r="DH16" i="61" s="1"/>
  <c r="CF8" i="61"/>
  <c r="AM8" i="61"/>
  <c r="AN10" i="61"/>
  <c r="CG10" i="61"/>
  <c r="CH18" i="61"/>
  <c r="AO12" i="61"/>
  <c r="CH12" i="61"/>
  <c r="C84" i="53"/>
  <c r="AK12" i="51"/>
  <c r="D89" i="53"/>
  <c r="BH10" i="61" l="1"/>
  <c r="D94" i="53"/>
  <c r="DA22" i="61"/>
  <c r="CZ22" i="61" s="1"/>
  <c r="CH20" i="61"/>
  <c r="CG20" i="61" s="1"/>
  <c r="AM22" i="61"/>
  <c r="CF22" i="61"/>
  <c r="BH18" i="61"/>
  <c r="DA18" i="61"/>
  <c r="BE36" i="61"/>
  <c r="BE57" i="61" s="1"/>
  <c r="CX36" i="61"/>
  <c r="CZ8" i="61"/>
  <c r="BG8" i="61"/>
  <c r="CG18" i="61"/>
  <c r="AN18" i="61"/>
  <c r="DE14" i="61"/>
  <c r="AO20" i="61"/>
  <c r="DK20" i="61"/>
  <c r="DB20" i="61" s="1"/>
  <c r="DL6" i="61"/>
  <c r="DN6" i="61" s="1"/>
  <c r="CE8" i="61"/>
  <c r="AL8" i="61"/>
  <c r="DF6" i="61"/>
  <c r="DH6" i="61" s="1"/>
  <c r="DD6" i="61"/>
  <c r="CI6" i="61" s="1"/>
  <c r="CD36" i="61"/>
  <c r="AK36" i="61"/>
  <c r="AK57" i="61" s="1"/>
  <c r="BG12" i="61"/>
  <c r="CZ12" i="61"/>
  <c r="DN16" i="61"/>
  <c r="DC16" i="61" s="1"/>
  <c r="DJ16" i="61"/>
  <c r="CG12" i="61"/>
  <c r="AN12" i="61"/>
  <c r="AM10" i="61"/>
  <c r="CF10" i="61"/>
  <c r="CH16" i="61"/>
  <c r="CZ10" i="61"/>
  <c r="BG10" i="61"/>
  <c r="D90" i="53"/>
  <c r="C89" i="53"/>
  <c r="C94" i="53" s="1"/>
  <c r="BG22" i="61" l="1"/>
  <c r="AN20" i="61"/>
  <c r="CE22" i="61"/>
  <c r="AL22" i="61"/>
  <c r="CY22" i="61"/>
  <c r="BF22" i="61"/>
  <c r="BF12" i="61"/>
  <c r="CY12" i="61"/>
  <c r="CH6" i="61"/>
  <c r="AO6" i="61"/>
  <c r="BH20" i="61"/>
  <c r="DA20" i="61"/>
  <c r="CZ18" i="61"/>
  <c r="BG18" i="61"/>
  <c r="AN16" i="61"/>
  <c r="CG16" i="61"/>
  <c r="AM12" i="61"/>
  <c r="CF12" i="61"/>
  <c r="AM18" i="61"/>
  <c r="CF18" i="61"/>
  <c r="AM20" i="61"/>
  <c r="CF20" i="61"/>
  <c r="DL14" i="61"/>
  <c r="AL10" i="61"/>
  <c r="CE10" i="61"/>
  <c r="DC6" i="61"/>
  <c r="BI6" i="61" s="1"/>
  <c r="DJ6" i="61"/>
  <c r="DK6" i="61" s="1"/>
  <c r="DD14" i="61"/>
  <c r="CI14" i="61" s="1"/>
  <c r="AO14" i="61" s="1"/>
  <c r="DF14" i="61"/>
  <c r="DH14" i="61" s="1"/>
  <c r="BD36" i="61"/>
  <c r="BD57" i="61" s="1"/>
  <c r="CW36" i="61"/>
  <c r="BF10" i="61"/>
  <c r="CY10" i="61"/>
  <c r="BI16" i="61"/>
  <c r="DK16" i="61"/>
  <c r="DB16" i="61" s="1"/>
  <c r="AJ36" i="61"/>
  <c r="AJ57" i="61" s="1"/>
  <c r="CC36" i="61"/>
  <c r="AK8" i="61"/>
  <c r="CD8" i="61"/>
  <c r="BF8" i="61"/>
  <c r="CY8" i="61"/>
  <c r="C90" i="53"/>
  <c r="BE22" i="61" l="1"/>
  <c r="CX22" i="61"/>
  <c r="AK22" i="61"/>
  <c r="CD22" i="61"/>
  <c r="CH14" i="61"/>
  <c r="CG14" i="61" s="1"/>
  <c r="BH16" i="61"/>
  <c r="DA16" i="61"/>
  <c r="CB36" i="61"/>
  <c r="AI36" i="61"/>
  <c r="AI57" i="61" s="1"/>
  <c r="DB6" i="61"/>
  <c r="CX10" i="61"/>
  <c r="BE10" i="61"/>
  <c r="CD10" i="61"/>
  <c r="AK10" i="61"/>
  <c r="CE20" i="61"/>
  <c r="AL20" i="61"/>
  <c r="AL12" i="61"/>
  <c r="CE12" i="61"/>
  <c r="CG6" i="61"/>
  <c r="AN6" i="61"/>
  <c r="AJ8" i="61"/>
  <c r="CC8" i="61"/>
  <c r="BF18" i="61"/>
  <c r="CY18" i="61"/>
  <c r="BE12" i="61"/>
  <c r="CX12" i="61"/>
  <c r="BE8" i="61"/>
  <c r="CX8" i="61"/>
  <c r="BC36" i="61"/>
  <c r="BC57" i="61" s="1"/>
  <c r="CV36" i="61"/>
  <c r="DJ14" i="61"/>
  <c r="DC14" i="61" s="1"/>
  <c r="DN14" i="61"/>
  <c r="CE18" i="61"/>
  <c r="AL18" i="61"/>
  <c r="AM16" i="61"/>
  <c r="CF16" i="61"/>
  <c r="BG20" i="61"/>
  <c r="CZ20" i="61"/>
  <c r="P6" i="34"/>
  <c r="E34" i="34"/>
  <c r="F34" i="34"/>
  <c r="G34" i="34"/>
  <c r="H34" i="34"/>
  <c r="I34" i="34"/>
  <c r="J34" i="34"/>
  <c r="K34" i="34"/>
  <c r="L34" i="34"/>
  <c r="M34" i="34"/>
  <c r="P13" i="34"/>
  <c r="P15" i="34" l="1"/>
  <c r="AN14" i="61"/>
  <c r="CC22" i="61"/>
  <c r="AJ22" i="61"/>
  <c r="CW22" i="61"/>
  <c r="BD22" i="61"/>
  <c r="CY20" i="61"/>
  <c r="BF20" i="61"/>
  <c r="CW12" i="61"/>
  <c r="BD12" i="61"/>
  <c r="CB8" i="61"/>
  <c r="AI8" i="61"/>
  <c r="AK20" i="61"/>
  <c r="CD20" i="61"/>
  <c r="CF14" i="61"/>
  <c r="AM14" i="61"/>
  <c r="CU36" i="61"/>
  <c r="BB36" i="61"/>
  <c r="BB57" i="61" s="1"/>
  <c r="CD18" i="61"/>
  <c r="AK18" i="61"/>
  <c r="CD12" i="61"/>
  <c r="AK12" i="61"/>
  <c r="AH36" i="61"/>
  <c r="AH57" i="61" s="1"/>
  <c r="CA36" i="61"/>
  <c r="AL16" i="61"/>
  <c r="CE16" i="61"/>
  <c r="CW8" i="61"/>
  <c r="BD8" i="61"/>
  <c r="BE18" i="61"/>
  <c r="CX18" i="61"/>
  <c r="CF6" i="61"/>
  <c r="AM6" i="61"/>
  <c r="CC10" i="61"/>
  <c r="AJ10" i="61"/>
  <c r="BD10" i="61"/>
  <c r="CW10" i="61"/>
  <c r="DA6" i="61"/>
  <c r="BH6" i="61"/>
  <c r="CZ16" i="61"/>
  <c r="BG16" i="61"/>
  <c r="BI14" i="61"/>
  <c r="DK14" i="61"/>
  <c r="DB14" i="61" s="1"/>
  <c r="P37" i="34" l="1"/>
  <c r="CV22" i="61"/>
  <c r="BC22" i="61"/>
  <c r="AI22" i="61"/>
  <c r="CB22" i="61"/>
  <c r="DA14" i="61"/>
  <c r="BH14" i="61"/>
  <c r="CZ6" i="61"/>
  <c r="BG6" i="61"/>
  <c r="BD18" i="61"/>
  <c r="CW18" i="61"/>
  <c r="AL6" i="61"/>
  <c r="CE6" i="61"/>
  <c r="CV8" i="61"/>
  <c r="BC8" i="61"/>
  <c r="CC18" i="61"/>
  <c r="AJ18" i="61"/>
  <c r="CE14" i="61"/>
  <c r="AL14" i="61"/>
  <c r="BC12" i="61"/>
  <c r="CV12" i="61"/>
  <c r="AI10" i="61"/>
  <c r="CB10" i="61"/>
  <c r="AJ20" i="61"/>
  <c r="CC20" i="61"/>
  <c r="CX20" i="61"/>
  <c r="BE20" i="61"/>
  <c r="AK16" i="61"/>
  <c r="CD16" i="61"/>
  <c r="BF16" i="61"/>
  <c r="CY16" i="61"/>
  <c r="BC10" i="61"/>
  <c r="CV10" i="61"/>
  <c r="AJ12" i="61"/>
  <c r="CC12" i="61"/>
  <c r="CT36" i="61"/>
  <c r="BA36" i="61"/>
  <c r="BA57" i="61" s="1"/>
  <c r="AH8" i="61"/>
  <c r="CA8" i="61"/>
  <c r="AG36" i="61"/>
  <c r="AG57" i="61" s="1"/>
  <c r="BZ36" i="61"/>
  <c r="Q37" i="34" l="1"/>
  <c r="AE54" i="61"/>
  <c r="B25" i="53"/>
  <c r="AH22" i="61"/>
  <c r="CA22" i="61"/>
  <c r="BB22" i="61"/>
  <c r="CU22" i="61"/>
  <c r="BD20" i="61"/>
  <c r="CW20" i="61"/>
  <c r="AI18" i="61"/>
  <c r="CB18" i="61"/>
  <c r="AK6" i="61"/>
  <c r="CD6" i="61"/>
  <c r="CV18" i="61"/>
  <c r="BC18" i="61"/>
  <c r="CY6" i="61"/>
  <c r="BF6" i="61"/>
  <c r="BY36" i="61"/>
  <c r="AE36" i="61" s="1"/>
  <c r="AF36" i="61"/>
  <c r="AF57" i="61" s="1"/>
  <c r="BB10" i="61"/>
  <c r="CU10" i="61"/>
  <c r="CC16" i="61"/>
  <c r="AJ16" i="61"/>
  <c r="AI20" i="61"/>
  <c r="CB20" i="61"/>
  <c r="BB12" i="61"/>
  <c r="CU12" i="61"/>
  <c r="AZ36" i="61"/>
  <c r="AZ57" i="61" s="1"/>
  <c r="CS36" i="61"/>
  <c r="AK14" i="61"/>
  <c r="CD14" i="61"/>
  <c r="BB8" i="61"/>
  <c r="CU8" i="61"/>
  <c r="AG8" i="61"/>
  <c r="BZ8" i="61"/>
  <c r="AI12" i="61"/>
  <c r="CB12" i="61"/>
  <c r="BE16" i="61"/>
  <c r="CX16" i="61"/>
  <c r="CA10" i="61"/>
  <c r="AH10" i="61"/>
  <c r="CZ14" i="61"/>
  <c r="BG14" i="61"/>
  <c r="B33" i="40"/>
  <c r="B61" i="40" l="1"/>
  <c r="C72" i="40" s="1"/>
  <c r="CT22" i="61"/>
  <c r="BA22" i="61"/>
  <c r="AG22" i="61"/>
  <c r="BZ22" i="61"/>
  <c r="CA12" i="61"/>
  <c r="AH12" i="61"/>
  <c r="CT8" i="61"/>
  <c r="BA8" i="61"/>
  <c r="AY36" i="61"/>
  <c r="AY57" i="61" s="1"/>
  <c r="CR36" i="61"/>
  <c r="AH20" i="61"/>
  <c r="CA20" i="61"/>
  <c r="BA10" i="61"/>
  <c r="CT10" i="61"/>
  <c r="CU18" i="61"/>
  <c r="BB18" i="61"/>
  <c r="AH18" i="61"/>
  <c r="CA18" i="61"/>
  <c r="AG10" i="61"/>
  <c r="BZ10" i="61"/>
  <c r="AF10" i="61" s="1"/>
  <c r="BD16" i="61"/>
  <c r="CW16" i="61"/>
  <c r="AF8" i="61"/>
  <c r="BY8" i="61"/>
  <c r="AE8" i="61" s="1"/>
  <c r="AJ14" i="61"/>
  <c r="CC14" i="61"/>
  <c r="BA12" i="61"/>
  <c r="CT12" i="61"/>
  <c r="CX6" i="61"/>
  <c r="BE6" i="61"/>
  <c r="CC6" i="61"/>
  <c r="AJ6" i="61"/>
  <c r="BC20" i="61"/>
  <c r="CV20" i="61"/>
  <c r="BF14" i="61"/>
  <c r="CY14" i="61"/>
  <c r="AI16" i="61"/>
  <c r="CB16" i="61"/>
  <c r="C66" i="40" l="1"/>
  <c r="C71" i="40"/>
  <c r="C70" i="40"/>
  <c r="C69" i="40"/>
  <c r="C68" i="40"/>
  <c r="C67" i="40"/>
  <c r="B62" i="40"/>
  <c r="I68" i="40" s="1"/>
  <c r="G66" i="40"/>
  <c r="G71" i="40"/>
  <c r="J76" i="40" s="1"/>
  <c r="AF22" i="61"/>
  <c r="BY22" i="61"/>
  <c r="AE22" i="61" s="1"/>
  <c r="AZ22" i="61"/>
  <c r="CS22" i="61"/>
  <c r="AH16" i="61"/>
  <c r="CA16" i="61"/>
  <c r="CU20" i="61"/>
  <c r="BB20" i="61"/>
  <c r="AI6" i="61"/>
  <c r="CB6" i="61"/>
  <c r="CS12" i="61"/>
  <c r="AZ12" i="61"/>
  <c r="BA18" i="61"/>
  <c r="CT18" i="61"/>
  <c r="CS8" i="61"/>
  <c r="AZ8" i="61"/>
  <c r="AG18" i="61"/>
  <c r="BZ18" i="61"/>
  <c r="CS10" i="61"/>
  <c r="AZ10" i="61"/>
  <c r="AX36" i="61"/>
  <c r="AX57" i="61" s="1"/>
  <c r="CQ36" i="61"/>
  <c r="BE14" i="61"/>
  <c r="CX14" i="61"/>
  <c r="AI14" i="61"/>
  <c r="CB14" i="61"/>
  <c r="BC16" i="61"/>
  <c r="CV16" i="61"/>
  <c r="AG12" i="61"/>
  <c r="BZ12" i="61"/>
  <c r="AF12" i="61" s="1"/>
  <c r="BD6" i="61"/>
  <c r="CW6" i="61"/>
  <c r="AG20" i="61"/>
  <c r="BZ20" i="61"/>
  <c r="DE30" i="61" l="1"/>
  <c r="G67" i="40"/>
  <c r="K67" i="40" s="1"/>
  <c r="I67" i="40"/>
  <c r="H67" i="40"/>
  <c r="G68" i="40"/>
  <c r="H71" i="40"/>
  <c r="I66" i="40"/>
  <c r="H66" i="40"/>
  <c r="E37" i="40" s="1"/>
  <c r="I70" i="40"/>
  <c r="H70" i="40"/>
  <c r="H68" i="40"/>
  <c r="I69" i="40"/>
  <c r="H69" i="40"/>
  <c r="G69" i="40"/>
  <c r="J69" i="40" s="1"/>
  <c r="G70" i="40"/>
  <c r="K70" i="40" s="1"/>
  <c r="I71" i="40"/>
  <c r="D37" i="40"/>
  <c r="K68" i="40"/>
  <c r="J68" i="40"/>
  <c r="G76" i="40"/>
  <c r="K72" i="40"/>
  <c r="J72" i="40"/>
  <c r="K71" i="40"/>
  <c r="K76" i="40" s="1"/>
  <c r="H76" i="40"/>
  <c r="AY22" i="61"/>
  <c r="CR22" i="61"/>
  <c r="CV6" i="61"/>
  <c r="BC6" i="61"/>
  <c r="BB16" i="61"/>
  <c r="CU16" i="61"/>
  <c r="CW14" i="61"/>
  <c r="BD14" i="61"/>
  <c r="AZ18" i="61"/>
  <c r="CS18" i="61"/>
  <c r="BA20" i="61"/>
  <c r="CT20" i="61"/>
  <c r="AY10" i="61"/>
  <c r="CR10" i="61"/>
  <c r="CA6" i="61"/>
  <c r="AH6" i="61"/>
  <c r="BZ16" i="61"/>
  <c r="AG16" i="61"/>
  <c r="CA14" i="61"/>
  <c r="AH14" i="61"/>
  <c r="CP36" i="61"/>
  <c r="AW36" i="61"/>
  <c r="AW57" i="61" s="1"/>
  <c r="BY18" i="61"/>
  <c r="AE18" i="61" s="1"/>
  <c r="AF18" i="61"/>
  <c r="BY20" i="61"/>
  <c r="AE20" i="61" s="1"/>
  <c r="AF20" i="61"/>
  <c r="CR8" i="61"/>
  <c r="AY8" i="61"/>
  <c r="CR12" i="61"/>
  <c r="AY12" i="61"/>
  <c r="DE34" i="61" l="1"/>
  <c r="DE28" i="61"/>
  <c r="P70" i="40"/>
  <c r="P72" i="40"/>
  <c r="B37" i="40"/>
  <c r="O69" i="40"/>
  <c r="P68" i="40"/>
  <c r="P69" i="40"/>
  <c r="O72" i="40"/>
  <c r="F37" i="40"/>
  <c r="P71" i="40"/>
  <c r="P76" i="40" s="1"/>
  <c r="P67" i="40"/>
  <c r="O70" i="40"/>
  <c r="O68" i="40"/>
  <c r="I76" i="40"/>
  <c r="K69" i="40"/>
  <c r="O71" i="40"/>
  <c r="DL30" i="61" s="1"/>
  <c r="DL26" i="61"/>
  <c r="DE26" i="61"/>
  <c r="DD26" i="61" s="1"/>
  <c r="CI26" i="61" s="1"/>
  <c r="CQ22" i="61"/>
  <c r="AX22" i="61"/>
  <c r="BZ6" i="61"/>
  <c r="AG6" i="61"/>
  <c r="AX12" i="61"/>
  <c r="CQ12" i="61"/>
  <c r="AV36" i="61"/>
  <c r="AV57" i="61" s="1"/>
  <c r="CO36" i="61"/>
  <c r="BY16" i="61"/>
  <c r="AE16" i="61" s="1"/>
  <c r="AF16" i="61"/>
  <c r="CQ10" i="61"/>
  <c r="AX10" i="61"/>
  <c r="AZ20" i="61"/>
  <c r="CS20" i="61"/>
  <c r="CV14" i="61"/>
  <c r="BC14" i="61"/>
  <c r="AX8" i="61"/>
  <c r="CQ8" i="61"/>
  <c r="BZ14" i="61"/>
  <c r="AF14" i="61" s="1"/>
  <c r="AG14" i="61"/>
  <c r="AY18" i="61"/>
  <c r="CR18" i="61"/>
  <c r="BA16" i="61"/>
  <c r="CT16" i="61"/>
  <c r="CU6" i="61"/>
  <c r="BB6" i="61"/>
  <c r="DL34" i="61" l="1"/>
  <c r="DN28" i="61"/>
  <c r="C37" i="40"/>
  <c r="DL28" i="61"/>
  <c r="AW22" i="61"/>
  <c r="CP22" i="61"/>
  <c r="CT6" i="61"/>
  <c r="BA6" i="61"/>
  <c r="AU36" i="61"/>
  <c r="AU57" i="61" s="1"/>
  <c r="CN36" i="61"/>
  <c r="AZ16" i="61"/>
  <c r="CS16" i="61"/>
  <c r="BB14" i="61"/>
  <c r="CU14" i="61"/>
  <c r="CP10" i="61"/>
  <c r="AW10" i="61"/>
  <c r="AW8" i="61"/>
  <c r="CP8" i="61"/>
  <c r="AY20" i="61"/>
  <c r="CR20" i="61"/>
  <c r="AX18" i="61"/>
  <c r="CQ18" i="61"/>
  <c r="CP12" i="61"/>
  <c r="AW12" i="61"/>
  <c r="BY6" i="61"/>
  <c r="AF6" i="61"/>
  <c r="AV22" i="61" l="1"/>
  <c r="CO22" i="61"/>
  <c r="AX20" i="61"/>
  <c r="CQ20" i="61"/>
  <c r="CT14" i="61"/>
  <c r="BA14" i="61"/>
  <c r="AY16" i="61"/>
  <c r="CR16" i="61"/>
  <c r="AV12" i="61"/>
  <c r="CO12" i="61"/>
  <c r="CP18" i="61"/>
  <c r="AW18" i="61"/>
  <c r="AT36" i="61"/>
  <c r="AT57" i="61" s="1"/>
  <c r="CM36" i="61"/>
  <c r="AZ6" i="61"/>
  <c r="CS6" i="61"/>
  <c r="AE6" i="61"/>
  <c r="AV8" i="61"/>
  <c r="CO8" i="61"/>
  <c r="CO10" i="61"/>
  <c r="AV10" i="61"/>
  <c r="AU22" i="61" l="1"/>
  <c r="CN22" i="61"/>
  <c r="CL36" i="61"/>
  <c r="AS36" i="61"/>
  <c r="AS57" i="61" s="1"/>
  <c r="AZ14" i="61"/>
  <c r="CS14" i="61"/>
  <c r="AV18" i="61"/>
  <c r="CO18" i="61"/>
  <c r="CN10" i="61"/>
  <c r="AU10" i="61"/>
  <c r="AY6" i="61"/>
  <c r="CR6" i="61"/>
  <c r="AX16" i="61"/>
  <c r="CQ16" i="61"/>
  <c r="AW20" i="61"/>
  <c r="CP20" i="61"/>
  <c r="CN8" i="61"/>
  <c r="AU8" i="61"/>
  <c r="CN12" i="61"/>
  <c r="AU12" i="61"/>
  <c r="CM22" i="61" l="1"/>
  <c r="AT22" i="61"/>
  <c r="AV20" i="61"/>
  <c r="CO20" i="61"/>
  <c r="AR36" i="61"/>
  <c r="AR57" i="61" s="1"/>
  <c r="CK36" i="61"/>
  <c r="CM12" i="61"/>
  <c r="AT12" i="61"/>
  <c r="CR14" i="61"/>
  <c r="AY14" i="61"/>
  <c r="AW16" i="61"/>
  <c r="CP16" i="61"/>
  <c r="CM10" i="61"/>
  <c r="AT10" i="61"/>
  <c r="DN30" i="61"/>
  <c r="CM8" i="61"/>
  <c r="AT8" i="61"/>
  <c r="CQ6" i="61"/>
  <c r="AX6" i="61"/>
  <c r="AU18" i="61"/>
  <c r="CN18" i="61"/>
  <c r="AS22" i="61" l="1"/>
  <c r="CL22" i="61"/>
  <c r="DC30" i="61"/>
  <c r="CO16" i="61"/>
  <c r="AV16" i="61"/>
  <c r="CJ36" i="61"/>
  <c r="AP36" i="61" s="1"/>
  <c r="AP57" i="61" s="1"/>
  <c r="AQ36" i="61"/>
  <c r="AQ57" i="61" s="1"/>
  <c r="AS8" i="61"/>
  <c r="CL8" i="61"/>
  <c r="CL10" i="61"/>
  <c r="AS10" i="61"/>
  <c r="AU20" i="61"/>
  <c r="CN20" i="61"/>
  <c r="AT18" i="61"/>
  <c r="CM18" i="61"/>
  <c r="AW6" i="61"/>
  <c r="CP6" i="61"/>
  <c r="AX14" i="61"/>
  <c r="CQ14" i="61"/>
  <c r="AS12" i="61"/>
  <c r="CL12" i="61"/>
  <c r="DD32" i="61" l="1"/>
  <c r="CI32" i="61" s="1"/>
  <c r="DN32" i="61"/>
  <c r="DC32" i="61" s="1"/>
  <c r="DD28" i="61"/>
  <c r="CI28" i="61" s="1"/>
  <c r="AO28" i="61" s="1"/>
  <c r="AR22" i="61"/>
  <c r="CK22" i="61"/>
  <c r="DN34" i="61"/>
  <c r="DC34" i="61" s="1"/>
  <c r="AR12" i="61"/>
  <c r="CK12" i="61"/>
  <c r="AV6" i="61"/>
  <c r="CO6" i="61"/>
  <c r="CM20" i="61"/>
  <c r="AT20" i="61"/>
  <c r="CK8" i="61"/>
  <c r="AR8" i="61"/>
  <c r="CN16" i="61"/>
  <c r="AU16" i="61"/>
  <c r="DF34" i="61"/>
  <c r="DH34" i="61" s="1"/>
  <c r="DD34" i="61"/>
  <c r="CI34" i="61" s="1"/>
  <c r="BI30" i="61"/>
  <c r="CP14" i="61"/>
  <c r="AW14" i="61"/>
  <c r="DN26" i="61"/>
  <c r="CL18" i="61"/>
  <c r="AS18" i="61"/>
  <c r="CK10" i="61"/>
  <c r="AR10" i="61"/>
  <c r="DH32" i="61" l="1"/>
  <c r="CH32" i="61" s="1"/>
  <c r="DJ28" i="61"/>
  <c r="DC28" i="61" s="1"/>
  <c r="DF28" i="61"/>
  <c r="DH28" i="61" s="1"/>
  <c r="CH28" i="61" s="1"/>
  <c r="AQ22" i="61"/>
  <c r="CJ22" i="61"/>
  <c r="AP22" i="61" s="1"/>
  <c r="DJ26" i="61"/>
  <c r="DC26" i="61"/>
  <c r="DF26" i="61"/>
  <c r="DH26" i="61" s="1"/>
  <c r="CH34" i="61"/>
  <c r="AO34" i="61"/>
  <c r="AT16" i="61"/>
  <c r="CM16" i="61"/>
  <c r="AS20" i="61"/>
  <c r="CL20" i="61"/>
  <c r="AU6" i="61"/>
  <c r="CN6" i="61"/>
  <c r="CK18" i="61"/>
  <c r="AR18" i="61"/>
  <c r="CO14" i="61"/>
  <c r="AV14" i="61"/>
  <c r="BI32" i="61"/>
  <c r="DK32" i="61"/>
  <c r="DB32" i="61" s="1"/>
  <c r="DJ34" i="61"/>
  <c r="DJ32" i="61"/>
  <c r="CJ8" i="61"/>
  <c r="AP8" i="61" s="1"/>
  <c r="AQ8" i="61"/>
  <c r="BI34" i="61"/>
  <c r="DK34" i="61"/>
  <c r="DB34" i="61" s="1"/>
  <c r="AQ12" i="61"/>
  <c r="CJ12" i="61"/>
  <c r="AP12" i="61" s="1"/>
  <c r="AO32" i="61"/>
  <c r="CJ10" i="61"/>
  <c r="AP10" i="61" s="1"/>
  <c r="AQ10" i="61"/>
  <c r="BI28" i="61" l="1"/>
  <c r="DK28" i="61"/>
  <c r="DB28" i="61" s="1"/>
  <c r="BH28" i="61" s="1"/>
  <c r="BH32" i="61"/>
  <c r="DA32" i="61"/>
  <c r="AQ18" i="61"/>
  <c r="CJ18" i="61"/>
  <c r="AP18" i="61" s="1"/>
  <c r="AR20" i="61"/>
  <c r="CK20" i="61"/>
  <c r="DA34" i="61"/>
  <c r="BH34" i="61"/>
  <c r="CM6" i="61"/>
  <c r="AT6" i="61"/>
  <c r="CG34" i="61"/>
  <c r="AN34" i="61"/>
  <c r="CH26" i="61"/>
  <c r="AO26" i="61"/>
  <c r="CG32" i="61"/>
  <c r="AN32" i="61"/>
  <c r="CG28" i="61"/>
  <c r="AN28" i="61"/>
  <c r="CN14" i="61"/>
  <c r="AU14" i="61"/>
  <c r="AS16" i="61"/>
  <c r="CL16" i="61"/>
  <c r="DK26" i="61"/>
  <c r="DB26" i="61" s="1"/>
  <c r="BI26" i="61"/>
  <c r="BI55" i="61" l="1"/>
  <c r="DA28" i="61"/>
  <c r="BG28" i="61" s="1"/>
  <c r="CF34" i="61"/>
  <c r="AM34" i="61"/>
  <c r="AQ20" i="61"/>
  <c r="CJ20" i="61"/>
  <c r="AP20" i="61" s="1"/>
  <c r="BG32" i="61"/>
  <c r="CZ32" i="61"/>
  <c r="CZ34" i="61"/>
  <c r="BG34" i="61"/>
  <c r="CK16" i="61"/>
  <c r="AR16" i="61"/>
  <c r="AM28" i="61"/>
  <c r="CF28" i="61"/>
  <c r="BH26" i="61"/>
  <c r="DA26" i="61"/>
  <c r="CG26" i="61"/>
  <c r="AN26" i="61"/>
  <c r="CM14" i="61"/>
  <c r="AT14" i="61"/>
  <c r="AM32" i="61"/>
  <c r="CF32" i="61"/>
  <c r="AS6" i="61"/>
  <c r="CL6" i="61"/>
  <c r="Q7" i="34"/>
  <c r="R7" i="34" s="1"/>
  <c r="Q8" i="34"/>
  <c r="Q9" i="34"/>
  <c r="Q4" i="34"/>
  <c r="Q5" i="34"/>
  <c r="CZ28" i="61" l="1"/>
  <c r="CY28" i="61" s="1"/>
  <c r="C7" i="34"/>
  <c r="B7" i="34"/>
  <c r="AR6" i="61"/>
  <c r="CK6" i="61"/>
  <c r="CZ26" i="61"/>
  <c r="BG26" i="61"/>
  <c r="CY32" i="61"/>
  <c r="BF32" i="61"/>
  <c r="CJ16" i="61"/>
  <c r="AP16" i="61" s="1"/>
  <c r="AQ16" i="61"/>
  <c r="AL34" i="61"/>
  <c r="CE34" i="61"/>
  <c r="AL32" i="61"/>
  <c r="CE32" i="61"/>
  <c r="CF26" i="61"/>
  <c r="AM26" i="61"/>
  <c r="AL28" i="61"/>
  <c r="CE28" i="61"/>
  <c r="AS14" i="61"/>
  <c r="CL14" i="61"/>
  <c r="CY34" i="61"/>
  <c r="BF34" i="61"/>
  <c r="R9" i="34"/>
  <c r="R8" i="34"/>
  <c r="BF28" i="61" l="1"/>
  <c r="B8" i="34"/>
  <c r="B13" i="34" s="1"/>
  <c r="C8" i="34"/>
  <c r="C13" i="34" s="1"/>
  <c r="C9" i="34"/>
  <c r="C14" i="34" s="1"/>
  <c r="B9" i="34"/>
  <c r="B14" i="34" s="1"/>
  <c r="B12" i="34"/>
  <c r="C12" i="34"/>
  <c r="CD34" i="61"/>
  <c r="AK34" i="61"/>
  <c r="AL26" i="61"/>
  <c r="CE26" i="61"/>
  <c r="CX32" i="61"/>
  <c r="BE32" i="61"/>
  <c r="CD32" i="61"/>
  <c r="AK32" i="61"/>
  <c r="CY26" i="61"/>
  <c r="BF26" i="61"/>
  <c r="CJ6" i="61"/>
  <c r="AQ6" i="61"/>
  <c r="AR14" i="61"/>
  <c r="CK14" i="61"/>
  <c r="AK28" i="61"/>
  <c r="CD28" i="61"/>
  <c r="CX34" i="61"/>
  <c r="BE34" i="61"/>
  <c r="BE28" i="61"/>
  <c r="CX28" i="61"/>
  <c r="B10" i="34" l="1"/>
  <c r="B11" i="34" s="1"/>
  <c r="C10" i="34"/>
  <c r="C11" i="34" s="1"/>
  <c r="CC28" i="61"/>
  <c r="AJ28" i="61"/>
  <c r="AJ34" i="61"/>
  <c r="CC34" i="61"/>
  <c r="CX26" i="61"/>
  <c r="BE26" i="61"/>
  <c r="BD32" i="61"/>
  <c r="CW32" i="61"/>
  <c r="CW28" i="61"/>
  <c r="BD28" i="61"/>
  <c r="AP6" i="61"/>
  <c r="CJ14" i="61"/>
  <c r="AP14" i="61" s="1"/>
  <c r="AQ14" i="61"/>
  <c r="CW34" i="61"/>
  <c r="BD34" i="61"/>
  <c r="CC32" i="61"/>
  <c r="AJ32" i="61"/>
  <c r="AK26" i="61"/>
  <c r="CD26" i="61"/>
  <c r="D6" i="34"/>
  <c r="D10" i="34"/>
  <c r="O10" i="34"/>
  <c r="N10" i="34"/>
  <c r="M10" i="34"/>
  <c r="L10" i="34"/>
  <c r="K10" i="34"/>
  <c r="J10" i="34"/>
  <c r="I10" i="34"/>
  <c r="H10" i="34"/>
  <c r="G10" i="34"/>
  <c r="F10" i="34"/>
  <c r="E10" i="34"/>
  <c r="E6" i="34"/>
  <c r="F6" i="34"/>
  <c r="G6" i="34"/>
  <c r="H6" i="34"/>
  <c r="I6" i="34"/>
  <c r="J6" i="34"/>
  <c r="K6" i="34"/>
  <c r="L6" i="34"/>
  <c r="M6" i="34"/>
  <c r="N6" i="34"/>
  <c r="O6" i="34"/>
  <c r="N11" i="34" l="1"/>
  <c r="E11" i="34"/>
  <c r="D11" i="34"/>
  <c r="BC28" i="61"/>
  <c r="CV28" i="61"/>
  <c r="AI34" i="61"/>
  <c r="CB34" i="61"/>
  <c r="AI32" i="61"/>
  <c r="CB32" i="61"/>
  <c r="CV34" i="61"/>
  <c r="BC34" i="61"/>
  <c r="CC26" i="61"/>
  <c r="AJ26" i="61"/>
  <c r="BC32" i="61"/>
  <c r="CV32" i="61"/>
  <c r="CW26" i="61"/>
  <c r="BD26" i="61"/>
  <c r="AI28" i="61"/>
  <c r="CB28" i="61"/>
  <c r="Q10" i="34"/>
  <c r="H11" i="34"/>
  <c r="P11" i="34"/>
  <c r="Q6" i="34"/>
  <c r="O11" i="34"/>
  <c r="M11" i="34"/>
  <c r="L11" i="34"/>
  <c r="K11" i="34"/>
  <c r="J11" i="34"/>
  <c r="I11" i="34"/>
  <c r="G11" i="34"/>
  <c r="F11" i="34"/>
  <c r="AH32" i="61" l="1"/>
  <c r="CA32" i="61"/>
  <c r="CA34" i="61"/>
  <c r="AH34" i="61"/>
  <c r="CA28" i="61"/>
  <c r="AH28" i="61"/>
  <c r="CV26" i="61"/>
  <c r="BC26" i="61"/>
  <c r="BB28" i="61"/>
  <c r="CU28" i="61"/>
  <c r="CU32" i="61"/>
  <c r="BB32" i="61"/>
  <c r="CB26" i="61"/>
  <c r="AI26" i="61"/>
  <c r="CU34" i="61"/>
  <c r="BB34" i="61"/>
  <c r="R10" i="34"/>
  <c r="Q11" i="34"/>
  <c r="BA32" i="61" l="1"/>
  <c r="CT32" i="61"/>
  <c r="BZ28" i="61"/>
  <c r="AG28" i="61"/>
  <c r="AG34" i="61"/>
  <c r="BZ34" i="61"/>
  <c r="CT28" i="61"/>
  <c r="BA28" i="61"/>
  <c r="CA26" i="61"/>
  <c r="AH26" i="61"/>
  <c r="BZ32" i="61"/>
  <c r="AG32" i="61"/>
  <c r="BA34" i="61"/>
  <c r="CT34" i="61"/>
  <c r="BB26" i="61"/>
  <c r="CU26" i="61"/>
  <c r="BY32" i="61" l="1"/>
  <c r="AE32" i="61" s="1"/>
  <c r="AF32" i="61"/>
  <c r="AZ32" i="61"/>
  <c r="CS32" i="61"/>
  <c r="BA26" i="61"/>
  <c r="CT26" i="61"/>
  <c r="AZ28" i="61"/>
  <c r="CS28" i="61"/>
  <c r="BY28" i="61"/>
  <c r="AE28" i="61" s="1"/>
  <c r="AF28" i="61"/>
  <c r="AF34" i="61"/>
  <c r="BY34" i="61"/>
  <c r="AE34" i="61" s="1"/>
  <c r="AZ34" i="61"/>
  <c r="CS34" i="61"/>
  <c r="AG26" i="61"/>
  <c r="BZ26" i="61"/>
  <c r="CS26" i="61" l="1"/>
  <c r="AZ26" i="61"/>
  <c r="BY26" i="61"/>
  <c r="AF26" i="61"/>
  <c r="AY32" i="61"/>
  <c r="CR32" i="61"/>
  <c r="AY34" i="61"/>
  <c r="CR34" i="61"/>
  <c r="AY28" i="61"/>
  <c r="CR28" i="61"/>
  <c r="AX28" i="61" l="1"/>
  <c r="CQ28" i="61"/>
  <c r="AX32" i="61"/>
  <c r="CQ32" i="61"/>
  <c r="CR26" i="61"/>
  <c r="AY26" i="61"/>
  <c r="AX34" i="61"/>
  <c r="CQ34" i="61"/>
  <c r="AE26" i="61"/>
  <c r="CP32" i="61" l="1"/>
  <c r="AW32" i="61"/>
  <c r="AW34" i="61"/>
  <c r="CP34" i="61"/>
  <c r="CQ26" i="61"/>
  <c r="AX26" i="61"/>
  <c r="AW28" i="61"/>
  <c r="CP28" i="61"/>
  <c r="AV34" i="61" l="1"/>
  <c r="CO34" i="61"/>
  <c r="CO28" i="61"/>
  <c r="AV28" i="61"/>
  <c r="CP26" i="61"/>
  <c r="AW26" i="61"/>
  <c r="AV32" i="61"/>
  <c r="CO32" i="61"/>
  <c r="AU28" i="61" l="1"/>
  <c r="CN28" i="61"/>
  <c r="CN34" i="61"/>
  <c r="AU34" i="61"/>
  <c r="AU32" i="61"/>
  <c r="CN32" i="61"/>
  <c r="CO26" i="61"/>
  <c r="AV26" i="61"/>
  <c r="F61" i="21"/>
  <c r="C59" i="21" s="1"/>
  <c r="O60" i="21"/>
  <c r="K23" i="21" s="1"/>
  <c r="O59" i="21"/>
  <c r="K25" i="21" s="1"/>
  <c r="O58" i="21"/>
  <c r="K24" i="21" s="1"/>
  <c r="C58" i="21"/>
  <c r="O57" i="21"/>
  <c r="K26" i="21" s="1"/>
  <c r="J57" i="21"/>
  <c r="L56" i="21" s="1"/>
  <c r="O56" i="21"/>
  <c r="K22" i="21" s="1"/>
  <c r="O55" i="21"/>
  <c r="O54" i="21"/>
  <c r="K19" i="21" s="1"/>
  <c r="O53" i="21"/>
  <c r="K20" i="21" s="1"/>
  <c r="O52" i="21"/>
  <c r="O51" i="21"/>
  <c r="K17" i="21" s="1"/>
  <c r="O50" i="21"/>
  <c r="O49" i="21"/>
  <c r="K15" i="21" s="1"/>
  <c r="O48" i="21"/>
  <c r="K14" i="21" s="1"/>
  <c r="F45" i="21"/>
  <c r="C43" i="21" s="1"/>
  <c r="O44" i="21"/>
  <c r="J26" i="21" s="1"/>
  <c r="O43" i="21"/>
  <c r="J24" i="21" s="1"/>
  <c r="O42" i="21"/>
  <c r="J23" i="21" s="1"/>
  <c r="J42" i="21"/>
  <c r="L41" i="21" s="1"/>
  <c r="O41" i="21"/>
  <c r="O40" i="21"/>
  <c r="J25" i="21" s="1"/>
  <c r="O39" i="21"/>
  <c r="J20" i="21" s="1"/>
  <c r="O38" i="21"/>
  <c r="O37" i="21"/>
  <c r="O36" i="21"/>
  <c r="J18" i="21" s="1"/>
  <c r="O35" i="21"/>
  <c r="O34" i="21"/>
  <c r="J16" i="21" s="1"/>
  <c r="O33" i="21"/>
  <c r="L28" i="21"/>
  <c r="L27" i="21"/>
  <c r="V25" i="21"/>
  <c r="R25" i="21"/>
  <c r="N25" i="21"/>
  <c r="D25" i="21"/>
  <c r="V22" i="21"/>
  <c r="R22" i="21"/>
  <c r="N22" i="21"/>
  <c r="D22" i="21"/>
  <c r="K21" i="21"/>
  <c r="L21" i="21" s="1"/>
  <c r="K18" i="21"/>
  <c r="K16" i="21"/>
  <c r="T4" i="21"/>
  <c r="S4" i="21"/>
  <c r="R4" i="21"/>
  <c r="T3" i="21"/>
  <c r="S3" i="21"/>
  <c r="R3" i="21"/>
  <c r="AU26" i="61" l="1"/>
  <c r="CN26" i="61"/>
  <c r="CM34" i="61"/>
  <c r="AT34" i="61"/>
  <c r="CM32" i="61"/>
  <c r="AT32" i="61"/>
  <c r="AT28" i="61"/>
  <c r="CM28" i="61"/>
  <c r="C51" i="21"/>
  <c r="L50" i="21"/>
  <c r="L52" i="21"/>
  <c r="L48" i="21"/>
  <c r="C55" i="21"/>
  <c r="O45" i="21"/>
  <c r="P38" i="21" s="1"/>
  <c r="L18" i="21"/>
  <c r="L16" i="21"/>
  <c r="L38" i="21"/>
  <c r="L54" i="21"/>
  <c r="S5" i="21"/>
  <c r="K9" i="21" s="1"/>
  <c r="C49" i="21"/>
  <c r="C53" i="21"/>
  <c r="J15" i="21"/>
  <c r="L15" i="21" s="1"/>
  <c r="L33" i="21"/>
  <c r="L35" i="21"/>
  <c r="L40" i="21"/>
  <c r="C48" i="21"/>
  <c r="L49" i="21"/>
  <c r="C52" i="21"/>
  <c r="L53" i="21"/>
  <c r="C56" i="21"/>
  <c r="L34" i="21"/>
  <c r="L36" i="21"/>
  <c r="O61" i="21"/>
  <c r="P58" i="21" s="1"/>
  <c r="C50" i="21"/>
  <c r="L51" i="21"/>
  <c r="C54" i="21"/>
  <c r="L55" i="21"/>
  <c r="C57" i="21"/>
  <c r="L20" i="21"/>
  <c r="L23" i="21"/>
  <c r="L26" i="21"/>
  <c r="L37" i="21"/>
  <c r="L39" i="21"/>
  <c r="P36" i="21"/>
  <c r="L25" i="21"/>
  <c r="L24" i="21"/>
  <c r="P52" i="21"/>
  <c r="J9" i="21"/>
  <c r="K29" i="21"/>
  <c r="J8" i="21"/>
  <c r="J14" i="21"/>
  <c r="J17" i="21"/>
  <c r="J19" i="21"/>
  <c r="J22" i="21"/>
  <c r="C44" i="21"/>
  <c r="C60" i="21"/>
  <c r="P43" i="21"/>
  <c r="C33" i="21"/>
  <c r="C34" i="21"/>
  <c r="C35" i="21"/>
  <c r="C36" i="21"/>
  <c r="C37" i="21"/>
  <c r="C38" i="21"/>
  <c r="C39" i="21"/>
  <c r="C40" i="21"/>
  <c r="C41" i="21"/>
  <c r="C42" i="21"/>
  <c r="P40" i="21" l="1"/>
  <c r="P56" i="21"/>
  <c r="P33" i="21"/>
  <c r="P41" i="21"/>
  <c r="P37" i="21"/>
  <c r="P35" i="21"/>
  <c r="P44" i="21"/>
  <c r="K8" i="21"/>
  <c r="T5" i="21" s="1"/>
  <c r="U5" i="21" s="1"/>
  <c r="C5" i="21" s="1"/>
  <c r="P42" i="21"/>
  <c r="P48" i="21"/>
  <c r="CL32" i="61"/>
  <c r="AS32" i="61"/>
  <c r="CL34" i="61"/>
  <c r="AS34" i="61"/>
  <c r="CL28" i="61"/>
  <c r="AS28" i="61"/>
  <c r="CM26" i="61"/>
  <c r="AT26" i="61"/>
  <c r="P34" i="21"/>
  <c r="P39" i="21"/>
  <c r="P45" i="21"/>
  <c r="P53" i="21"/>
  <c r="P49" i="21"/>
  <c r="P57" i="21"/>
  <c r="P50" i="21"/>
  <c r="P54" i="21"/>
  <c r="P61" i="21"/>
  <c r="P60" i="21"/>
  <c r="P51" i="21"/>
  <c r="P55" i="21"/>
  <c r="P59" i="21"/>
  <c r="L19" i="21"/>
  <c r="U15" i="21"/>
  <c r="U28" i="21"/>
  <c r="U27" i="21"/>
  <c r="U29" i="21"/>
  <c r="U21" i="21"/>
  <c r="U19" i="21"/>
  <c r="U14" i="21"/>
  <c r="U18" i="21"/>
  <c r="L17" i="21"/>
  <c r="U26" i="21"/>
  <c r="U24" i="21"/>
  <c r="U20" i="21"/>
  <c r="U22" i="21"/>
  <c r="U17" i="21"/>
  <c r="L22" i="21"/>
  <c r="J29" i="21"/>
  <c r="Q14" i="21" s="1"/>
  <c r="L14" i="21"/>
  <c r="U23" i="21"/>
  <c r="U16" i="21"/>
  <c r="U25" i="21"/>
  <c r="CL26" i="61" l="1"/>
  <c r="AS26" i="61"/>
  <c r="AR34" i="61"/>
  <c r="CK34" i="61"/>
  <c r="CK28" i="61"/>
  <c r="AR28" i="61"/>
  <c r="CK32" i="61"/>
  <c r="AR32" i="61"/>
  <c r="Q29" i="21"/>
  <c r="Q21" i="21"/>
  <c r="Q28" i="21"/>
  <c r="Q27" i="21"/>
  <c r="Q25" i="21"/>
  <c r="Q20" i="21"/>
  <c r="Q26" i="21"/>
  <c r="Q24" i="21"/>
  <c r="Q16" i="21"/>
  <c r="Q23" i="21"/>
  <c r="Q15" i="21"/>
  <c r="Q18" i="21"/>
  <c r="L29" i="21"/>
  <c r="M17" i="21" s="1"/>
  <c r="Q22" i="21"/>
  <c r="Q17" i="21"/>
  <c r="Q19" i="21"/>
  <c r="CJ32" i="61" l="1"/>
  <c r="AP32" i="61" s="1"/>
  <c r="AQ32" i="61"/>
  <c r="AQ34" i="61"/>
  <c r="CJ34" i="61"/>
  <c r="AP34" i="61" s="1"/>
  <c r="AQ28" i="61"/>
  <c r="CJ28" i="61"/>
  <c r="AP28" i="61" s="1"/>
  <c r="CK26" i="61"/>
  <c r="AR26" i="61"/>
  <c r="M19" i="21"/>
  <c r="M14" i="21"/>
  <c r="J30" i="21"/>
  <c r="M29" i="21"/>
  <c r="M28" i="21"/>
  <c r="M27" i="21"/>
  <c r="M21" i="21"/>
  <c r="M18" i="21"/>
  <c r="M16" i="21"/>
  <c r="M20" i="21"/>
  <c r="M15" i="21"/>
  <c r="M26" i="21"/>
  <c r="M23" i="21"/>
  <c r="M24" i="21"/>
  <c r="K30" i="21"/>
  <c r="M25" i="21"/>
  <c r="M22" i="21"/>
  <c r="CJ26" i="61" l="1"/>
  <c r="AQ26" i="61"/>
  <c r="P25" i="21"/>
  <c r="P15" i="21"/>
  <c r="P24" i="21"/>
  <c r="P14" i="21"/>
  <c r="P21" i="21"/>
  <c r="P22" i="21"/>
  <c r="P23" i="21"/>
  <c r="P19" i="21"/>
  <c r="AP26" i="61" l="1"/>
  <c r="V51" i="15"/>
  <c r="U51" i="15"/>
  <c r="T51" i="15"/>
  <c r="V49" i="15"/>
  <c r="U49" i="15"/>
  <c r="T49" i="15"/>
  <c r="V47" i="15"/>
  <c r="U47" i="15"/>
  <c r="T47" i="15"/>
  <c r="V45" i="15"/>
  <c r="U45" i="15"/>
  <c r="T45" i="15"/>
  <c r="V43" i="15"/>
  <c r="U43" i="15"/>
  <c r="T43" i="15"/>
  <c r="V41" i="15"/>
  <c r="U41" i="15"/>
  <c r="T41" i="15"/>
  <c r="V39" i="15"/>
  <c r="U39" i="15"/>
  <c r="T39" i="15"/>
  <c r="V35" i="15"/>
  <c r="U35" i="15"/>
  <c r="T35" i="15"/>
  <c r="S35" i="15"/>
  <c r="R35" i="15"/>
  <c r="Q35" i="15"/>
  <c r="P35" i="15"/>
  <c r="O35" i="15"/>
  <c r="N35" i="15"/>
  <c r="M35" i="15"/>
  <c r="L35" i="15"/>
  <c r="K35" i="15"/>
  <c r="J35" i="15"/>
  <c r="I35" i="15"/>
  <c r="H35" i="15"/>
  <c r="G35" i="15"/>
  <c r="F35" i="15"/>
  <c r="E35" i="15"/>
  <c r="D35" i="15"/>
  <c r="C35" i="15"/>
  <c r="B35" i="15"/>
  <c r="X34" i="15"/>
  <c r="W34" i="15"/>
  <c r="W33" i="15"/>
  <c r="S39" i="15"/>
  <c r="R49" i="15"/>
  <c r="Q49" i="15"/>
  <c r="P47" i="15"/>
  <c r="O49" i="15"/>
  <c r="N41" i="15"/>
  <c r="M49" i="15"/>
  <c r="L47" i="15"/>
  <c r="J47" i="15"/>
  <c r="I49" i="15"/>
  <c r="H47" i="15"/>
  <c r="G51" i="15"/>
  <c r="F41" i="15"/>
  <c r="E49" i="15"/>
  <c r="D47" i="15"/>
  <c r="C39" i="15"/>
  <c r="B49" i="15"/>
  <c r="X21" i="15"/>
  <c r="W21" i="15"/>
  <c r="X19" i="15"/>
  <c r="W19" i="15"/>
  <c r="X17" i="15"/>
  <c r="W17" i="15"/>
  <c r="V16" i="15"/>
  <c r="V23" i="15" s="1"/>
  <c r="U16" i="15"/>
  <c r="U23" i="15" s="1"/>
  <c r="O33" i="34" s="1"/>
  <c r="O34" i="34" s="1"/>
  <c r="T16" i="15"/>
  <c r="T23" i="15" s="1"/>
  <c r="N33" i="34" s="1"/>
  <c r="N34" i="34" s="1"/>
  <c r="S16" i="15"/>
  <c r="S23" i="15" s="1"/>
  <c r="R16" i="15"/>
  <c r="R23" i="15" s="1"/>
  <c r="Q16" i="15"/>
  <c r="Q23" i="15" s="1"/>
  <c r="P16" i="15"/>
  <c r="P23" i="15" s="1"/>
  <c r="O16" i="15"/>
  <c r="O23" i="15" s="1"/>
  <c r="N16" i="15"/>
  <c r="N23" i="15" s="1"/>
  <c r="M16" i="15"/>
  <c r="M23" i="15" s="1"/>
  <c r="L16" i="15"/>
  <c r="L23" i="15" s="1"/>
  <c r="K16" i="15"/>
  <c r="K23" i="15" s="1"/>
  <c r="J16" i="15"/>
  <c r="J23" i="15" s="1"/>
  <c r="D33" i="34" s="1"/>
  <c r="D34" i="34" s="1"/>
  <c r="I16" i="15"/>
  <c r="I23" i="15" s="1"/>
  <c r="H16" i="15"/>
  <c r="H23" i="15" s="1"/>
  <c r="G16" i="15"/>
  <c r="G23" i="15" s="1"/>
  <c r="F16" i="15"/>
  <c r="F23" i="15" s="1"/>
  <c r="E16" i="15"/>
  <c r="E23" i="15" s="1"/>
  <c r="C33" i="34" s="1"/>
  <c r="C34" i="34" s="1"/>
  <c r="D16" i="15"/>
  <c r="D23" i="15" s="1"/>
  <c r="C16" i="15"/>
  <c r="C23" i="15" s="1"/>
  <c r="B16" i="15"/>
  <c r="B23" i="15" s="1"/>
  <c r="B33" i="34" s="1"/>
  <c r="B34" i="34" s="1"/>
  <c r="CI3" i="61" s="1"/>
  <c r="X15" i="15"/>
  <c r="W15" i="15"/>
  <c r="X13" i="15"/>
  <c r="W13" i="15"/>
  <c r="X11" i="15"/>
  <c r="W11" i="15"/>
  <c r="X9" i="15"/>
  <c r="W9" i="15"/>
  <c r="AZ42" i="61" l="1"/>
  <c r="AJ42" i="61"/>
  <c r="BB42" i="61"/>
  <c r="AL42" i="61"/>
  <c r="AS42" i="61"/>
  <c r="BC42" i="61"/>
  <c r="BF42" i="61"/>
  <c r="AG42" i="61"/>
  <c r="AP42" i="61"/>
  <c r="AQ42" i="61"/>
  <c r="AV42" i="61"/>
  <c r="AF42" i="61"/>
  <c r="AX42" i="61"/>
  <c r="AH42" i="61"/>
  <c r="AK42" i="61"/>
  <c r="AY42" i="61"/>
  <c r="BE42" i="61"/>
  <c r="AN42" i="61"/>
  <c r="BG42" i="61"/>
  <c r="BH42" i="61"/>
  <c r="AR42" i="61"/>
  <c r="AM42" i="61"/>
  <c r="AT42" i="61"/>
  <c r="BI42" i="61"/>
  <c r="AE42" i="61"/>
  <c r="AU42" i="61"/>
  <c r="AW42" i="61"/>
  <c r="AI42" i="61"/>
  <c r="BA42" i="61"/>
  <c r="AO42" i="61"/>
  <c r="BD42" i="61"/>
  <c r="AT44" i="61"/>
  <c r="AE44" i="61"/>
  <c r="AM44" i="61"/>
  <c r="AW44" i="61"/>
  <c r="AG44" i="61"/>
  <c r="AV44" i="61"/>
  <c r="AF44" i="61"/>
  <c r="AL44" i="61"/>
  <c r="AY44" i="61"/>
  <c r="AO44" i="61"/>
  <c r="AQ44" i="61"/>
  <c r="AX44" i="61"/>
  <c r="AU44" i="61"/>
  <c r="AK44" i="61"/>
  <c r="AI44" i="61"/>
  <c r="BF44" i="61"/>
  <c r="AP44" i="61"/>
  <c r="BG44" i="61"/>
  <c r="BI44" i="61"/>
  <c r="AS44" i="61"/>
  <c r="BH44" i="61"/>
  <c r="AR44" i="61"/>
  <c r="BC44" i="61"/>
  <c r="BB44" i="61"/>
  <c r="BE44" i="61"/>
  <c r="BD44" i="61"/>
  <c r="AN44" i="61"/>
  <c r="AH44" i="61"/>
  <c r="BA44" i="61"/>
  <c r="AZ44" i="61"/>
  <c r="AJ44" i="61"/>
  <c r="BH46" i="61"/>
  <c r="BD46" i="61"/>
  <c r="AZ46" i="61"/>
  <c r="AV46" i="61"/>
  <c r="AR46" i="61"/>
  <c r="AN46" i="61"/>
  <c r="AJ46" i="61"/>
  <c r="AF46" i="61"/>
  <c r="AE46" i="61"/>
  <c r="BI46" i="61"/>
  <c r="BE46" i="61"/>
  <c r="BA46" i="61"/>
  <c r="AS46" i="61"/>
  <c r="AO46" i="61"/>
  <c r="AK46" i="61"/>
  <c r="BG46" i="61"/>
  <c r="BC46" i="61"/>
  <c r="AY46" i="61"/>
  <c r="AU46" i="61"/>
  <c r="AQ46" i="61"/>
  <c r="AM46" i="61"/>
  <c r="AI46" i="61"/>
  <c r="BF46" i="61"/>
  <c r="BB46" i="61"/>
  <c r="AX46" i="61"/>
  <c r="AT46" i="61"/>
  <c r="AP46" i="61"/>
  <c r="AL46" i="61"/>
  <c r="AH46" i="61"/>
  <c r="AW46" i="61"/>
  <c r="AG46" i="61"/>
  <c r="W51" i="15"/>
  <c r="DC3" i="61"/>
  <c r="CY3" i="61"/>
  <c r="CU3" i="61"/>
  <c r="CQ3" i="61"/>
  <c r="CM3" i="61"/>
  <c r="CE3" i="61"/>
  <c r="CA3" i="61"/>
  <c r="BH3" i="61"/>
  <c r="BD3" i="61"/>
  <c r="AZ3" i="61"/>
  <c r="AV3" i="61"/>
  <c r="AR3" i="61"/>
  <c r="AN3" i="61"/>
  <c r="AJ3" i="61"/>
  <c r="AF3" i="61"/>
  <c r="CV3" i="61"/>
  <c r="CR3" i="61"/>
  <c r="CJ3" i="61"/>
  <c r="CF3" i="61"/>
  <c r="BI3" i="61"/>
  <c r="AW3" i="61"/>
  <c r="AK3" i="61"/>
  <c r="AG3" i="61"/>
  <c r="DB3" i="61"/>
  <c r="CX3" i="61"/>
  <c r="CT3" i="61"/>
  <c r="CP3" i="61"/>
  <c r="CL3" i="61"/>
  <c r="CH3" i="61"/>
  <c r="CD3" i="61"/>
  <c r="BZ3" i="61"/>
  <c r="BG3" i="61"/>
  <c r="BC3" i="61"/>
  <c r="AY3" i="61"/>
  <c r="AU3" i="61"/>
  <c r="AQ3" i="61"/>
  <c r="AM3" i="61"/>
  <c r="AI3" i="61"/>
  <c r="AE3" i="61"/>
  <c r="DA3" i="61"/>
  <c r="CW3" i="61"/>
  <c r="CO3" i="61"/>
  <c r="CG3" i="61"/>
  <c r="CC3" i="61"/>
  <c r="BY3" i="61"/>
  <c r="BB3" i="61"/>
  <c r="AT3" i="61"/>
  <c r="AP3" i="61"/>
  <c r="AH3" i="61"/>
  <c r="CB3" i="61"/>
  <c r="BA3" i="61"/>
  <c r="AO3" i="61"/>
  <c r="CS3" i="61"/>
  <c r="CK3" i="61"/>
  <c r="BF3" i="61"/>
  <c r="AX3" i="61"/>
  <c r="AL3" i="61"/>
  <c r="CZ3" i="61"/>
  <c r="CN3" i="61"/>
  <c r="BE3" i="61"/>
  <c r="AS3" i="61"/>
  <c r="B35" i="34"/>
  <c r="X49" i="15"/>
  <c r="V30" i="15"/>
  <c r="W49" i="15"/>
  <c r="I53" i="15"/>
  <c r="M53" i="15"/>
  <c r="Q53" i="15"/>
  <c r="Q43" i="15"/>
  <c r="E53" i="15"/>
  <c r="E55" i="15" s="1"/>
  <c r="N45" i="15"/>
  <c r="B47" i="15"/>
  <c r="F49" i="15"/>
  <c r="L51" i="15"/>
  <c r="L41" i="15"/>
  <c r="P41" i="15"/>
  <c r="I43" i="15"/>
  <c r="W39" i="15"/>
  <c r="F25" i="15"/>
  <c r="W41" i="15"/>
  <c r="V25" i="15"/>
  <c r="D41" i="15"/>
  <c r="Q41" i="15"/>
  <c r="B43" i="15"/>
  <c r="X43" i="15" s="1"/>
  <c r="J43" i="15"/>
  <c r="R43" i="15"/>
  <c r="B45" i="15"/>
  <c r="X45" i="15" s="1"/>
  <c r="M47" i="15"/>
  <c r="J49" i="15"/>
  <c r="Q51" i="15"/>
  <c r="H41" i="15"/>
  <c r="E43" i="15"/>
  <c r="M43" i="15"/>
  <c r="F45" i="15"/>
  <c r="N47" i="15"/>
  <c r="G39" i="15"/>
  <c r="F43" i="15"/>
  <c r="N43" i="15"/>
  <c r="J45" i="15"/>
  <c r="R47" i="15"/>
  <c r="D49" i="15"/>
  <c r="D24" i="15"/>
  <c r="I25" i="15"/>
  <c r="M25" i="15"/>
  <c r="T25" i="15"/>
  <c r="Q25" i="15"/>
  <c r="B53" i="15"/>
  <c r="B54" i="15" s="1"/>
  <c r="B24" i="15"/>
  <c r="E30" i="15"/>
  <c r="E29" i="15"/>
  <c r="H24" i="15"/>
  <c r="B27" i="15"/>
  <c r="I24" i="15"/>
  <c r="M24" i="15"/>
  <c r="R53" i="15"/>
  <c r="R24" i="15"/>
  <c r="R30" i="15"/>
  <c r="R25" i="15"/>
  <c r="P24" i="15"/>
  <c r="G53" i="15"/>
  <c r="G24" i="15"/>
  <c r="G25" i="15"/>
  <c r="O53" i="15"/>
  <c r="O25" i="15"/>
  <c r="O24" i="15"/>
  <c r="N24" i="15"/>
  <c r="N53" i="15"/>
  <c r="N25" i="15"/>
  <c r="C53" i="15"/>
  <c r="C24" i="15"/>
  <c r="K53" i="15"/>
  <c r="K24" i="15"/>
  <c r="K25" i="15"/>
  <c r="S53" i="15"/>
  <c r="S30" i="15"/>
  <c r="S25" i="15"/>
  <c r="S24" i="15"/>
  <c r="J24" i="15"/>
  <c r="J53" i="15"/>
  <c r="X47" i="15"/>
  <c r="W47" i="15"/>
  <c r="W28" i="15"/>
  <c r="V24" i="15"/>
  <c r="V53" i="15"/>
  <c r="T24" i="15"/>
  <c r="U53" i="15"/>
  <c r="U30" i="15"/>
  <c r="L25" i="15"/>
  <c r="L53" i="15"/>
  <c r="W23" i="15"/>
  <c r="E24" i="15"/>
  <c r="U24" i="15"/>
  <c r="W27" i="15"/>
  <c r="C49" i="15"/>
  <c r="C41" i="15"/>
  <c r="C43" i="15"/>
  <c r="C51" i="15"/>
  <c r="C47" i="15"/>
  <c r="C45" i="15"/>
  <c r="G41" i="15"/>
  <c r="G28" i="15"/>
  <c r="G49" i="15"/>
  <c r="G43" i="15"/>
  <c r="G45" i="15"/>
  <c r="K51" i="15"/>
  <c r="K47" i="15"/>
  <c r="K41" i="15"/>
  <c r="K43" i="15"/>
  <c r="K49" i="15"/>
  <c r="K45" i="15"/>
  <c r="O45" i="15"/>
  <c r="O41" i="15"/>
  <c r="O51" i="15"/>
  <c r="O47" i="15"/>
  <c r="O43" i="15"/>
  <c r="S45" i="15"/>
  <c r="S49" i="15"/>
  <c r="S41" i="15"/>
  <c r="S43" i="15"/>
  <c r="S51" i="15"/>
  <c r="S47" i="15"/>
  <c r="K39" i="15"/>
  <c r="G47" i="15"/>
  <c r="T30" i="15"/>
  <c r="D53" i="15"/>
  <c r="F24" i="15"/>
  <c r="F53" i="15"/>
  <c r="P25" i="15"/>
  <c r="P53" i="15"/>
  <c r="H53" i="15"/>
  <c r="H25" i="15"/>
  <c r="X23" i="15"/>
  <c r="L24" i="15"/>
  <c r="Q24" i="15"/>
  <c r="E25" i="15"/>
  <c r="J25" i="15"/>
  <c r="U25" i="15"/>
  <c r="O39" i="15"/>
  <c r="T53" i="15"/>
  <c r="D39" i="15"/>
  <c r="H39" i="15"/>
  <c r="L39" i="15"/>
  <c r="P39" i="15"/>
  <c r="E41" i="15"/>
  <c r="I41" i="15"/>
  <c r="M41" i="15"/>
  <c r="P45" i="15"/>
  <c r="I47" i="15"/>
  <c r="P49" i="15"/>
  <c r="H51" i="15"/>
  <c r="M51" i="15"/>
  <c r="X33" i="15"/>
  <c r="E39" i="15"/>
  <c r="I39" i="15"/>
  <c r="M39" i="15"/>
  <c r="Q39" i="15"/>
  <c r="B41" i="15"/>
  <c r="X41" i="15" s="1"/>
  <c r="J41" i="15"/>
  <c r="R41" i="15"/>
  <c r="W43" i="15"/>
  <c r="D45" i="15"/>
  <c r="H45" i="15"/>
  <c r="L45" i="15"/>
  <c r="Q45" i="15"/>
  <c r="W45" i="15"/>
  <c r="E47" i="15"/>
  <c r="L49" i="15"/>
  <c r="D51" i="15"/>
  <c r="I51" i="15"/>
  <c r="B51" i="15"/>
  <c r="X51" i="15" s="1"/>
  <c r="F51" i="15"/>
  <c r="J51" i="15"/>
  <c r="N51" i="15"/>
  <c r="R51" i="15"/>
  <c r="B39" i="15"/>
  <c r="X39" i="15" s="1"/>
  <c r="F39" i="15"/>
  <c r="J39" i="15"/>
  <c r="N39" i="15"/>
  <c r="R39" i="15"/>
  <c r="D43" i="15"/>
  <c r="H43" i="15"/>
  <c r="L43" i="15"/>
  <c r="P43" i="15"/>
  <c r="E45" i="15"/>
  <c r="I45" i="15"/>
  <c r="M45" i="15"/>
  <c r="R45" i="15"/>
  <c r="F47" i="15"/>
  <c r="Q47" i="15"/>
  <c r="H49" i="15"/>
  <c r="N49" i="15"/>
  <c r="E51" i="15"/>
  <c r="P51" i="15"/>
  <c r="CI39" i="61" l="1"/>
  <c r="CI40" i="61" s="1"/>
  <c r="AO39" i="61"/>
  <c r="DC40" i="61"/>
  <c r="BI40" i="61" s="1"/>
  <c r="Q55" i="15"/>
  <c r="M55" i="15"/>
  <c r="E54" i="15"/>
  <c r="I55" i="15"/>
  <c r="I54" i="15"/>
  <c r="Q54" i="15"/>
  <c r="C54" i="15"/>
  <c r="D54" i="15"/>
  <c r="M54" i="15"/>
  <c r="V27" i="15"/>
  <c r="C28" i="15" s="1"/>
  <c r="H54" i="15"/>
  <c r="H55" i="15"/>
  <c r="V55" i="15"/>
  <c r="W53" i="15"/>
  <c r="V54" i="15"/>
  <c r="X53" i="15"/>
  <c r="J55" i="15"/>
  <c r="J54" i="15"/>
  <c r="K54" i="15"/>
  <c r="K55" i="15"/>
  <c r="G55" i="15"/>
  <c r="G54" i="15"/>
  <c r="L54" i="15"/>
  <c r="L55" i="15"/>
  <c r="F55" i="15"/>
  <c r="F54" i="15"/>
  <c r="T54" i="15"/>
  <c r="T55" i="15"/>
  <c r="P54" i="15"/>
  <c r="P55" i="15"/>
  <c r="U54" i="15"/>
  <c r="U55" i="15"/>
  <c r="S55" i="15"/>
  <c r="S54" i="15"/>
  <c r="N55" i="15"/>
  <c r="N54" i="15"/>
  <c r="O55" i="15"/>
  <c r="O54" i="15"/>
  <c r="R55" i="15"/>
  <c r="R54" i="15"/>
  <c r="P35" i="34" l="1"/>
  <c r="P36" i="34"/>
  <c r="AE4" i="61"/>
  <c r="AO40" i="61"/>
  <c r="BZ39" i="61"/>
  <c r="CJ39" i="61"/>
  <c r="CK39" i="61" l="1"/>
  <c r="AP39" i="61"/>
  <c r="CA39" i="61"/>
  <c r="AF39" i="61"/>
  <c r="CB39" i="61" l="1"/>
  <c r="AG39" i="61"/>
  <c r="AQ39" i="61"/>
  <c r="CL39" i="61"/>
  <c r="CM39" i="61" l="1"/>
  <c r="AR39" i="61"/>
  <c r="AH39" i="61"/>
  <c r="CC39" i="61"/>
  <c r="AI39" i="61" l="1"/>
  <c r="CD39" i="61"/>
  <c r="CN39" i="61"/>
  <c r="AS39" i="61"/>
  <c r="CO39" i="61" l="1"/>
  <c r="AT39" i="61"/>
  <c r="AJ39" i="61"/>
  <c r="CE39" i="61"/>
  <c r="CF39" i="61" l="1"/>
  <c r="AK39" i="61"/>
  <c r="CP39" i="61"/>
  <c r="AU39" i="61"/>
  <c r="CQ39" i="61" l="1"/>
  <c r="AV39" i="61"/>
  <c r="AL39" i="61"/>
  <c r="CG39" i="61"/>
  <c r="AM39" i="61" l="1"/>
  <c r="CH39" i="61"/>
  <c r="AN39" i="61" s="1"/>
  <c r="AW39" i="61"/>
  <c r="CR39" i="61"/>
  <c r="CS39" i="61" l="1"/>
  <c r="AX39" i="61"/>
  <c r="AY39" i="61" l="1"/>
  <c r="CT39" i="61"/>
  <c r="CU39" i="61" l="1"/>
  <c r="AZ39" i="61"/>
  <c r="BA39" i="61" l="1"/>
  <c r="CV39" i="61"/>
  <c r="BB39" i="61" l="1"/>
  <c r="CW39" i="61"/>
  <c r="BC39" i="61" l="1"/>
  <c r="CX39" i="61"/>
  <c r="BD39" i="61" l="1"/>
  <c r="CY39" i="61"/>
  <c r="BE39" i="61" l="1"/>
  <c r="CZ39" i="61"/>
  <c r="BF39" i="61" l="1"/>
  <c r="DA39" i="61"/>
  <c r="DB39" i="61" l="1"/>
  <c r="BH39" i="61" s="1"/>
  <c r="BG39" i="61"/>
  <c r="DD30" i="61" l="1"/>
  <c r="DF30" i="61"/>
  <c r="DH30" i="61" s="1"/>
  <c r="DJ30" i="61" l="1"/>
  <c r="CI30" i="61"/>
  <c r="AO30" i="61" l="1"/>
  <c r="AO55" i="61" s="1"/>
  <c r="DK30" i="61"/>
  <c r="DB30" i="61" s="1"/>
  <c r="CH30" i="61"/>
  <c r="AN30" i="61" l="1"/>
  <c r="AN55" i="61" s="1"/>
  <c r="CG30" i="61"/>
  <c r="BH30" i="61"/>
  <c r="BH55" i="61" s="1"/>
  <c r="DA30" i="61"/>
  <c r="CZ30" i="61" l="1"/>
  <c r="BG30" i="61"/>
  <c r="BG55" i="61" s="1"/>
  <c r="AM30" i="61"/>
  <c r="AM55" i="61" s="1"/>
  <c r="CF30" i="61"/>
  <c r="AL30" i="61" l="1"/>
  <c r="AL55" i="61" s="1"/>
  <c r="CE30" i="61"/>
  <c r="CY30" i="61"/>
  <c r="BF30" i="61"/>
  <c r="BF55" i="61" s="1"/>
  <c r="BE30" i="61" l="1"/>
  <c r="BE55" i="61" s="1"/>
  <c r="CX30" i="61"/>
  <c r="AK30" i="61"/>
  <c r="AK55" i="61" s="1"/>
  <c r="CD30" i="61"/>
  <c r="AJ30" i="61" l="1"/>
  <c r="AJ55" i="61" s="1"/>
  <c r="CC30" i="61"/>
  <c r="BD30" i="61"/>
  <c r="BD55" i="61" s="1"/>
  <c r="CW30" i="61"/>
  <c r="BC30" i="61" l="1"/>
  <c r="BC55" i="61" s="1"/>
  <c r="CV30" i="61"/>
  <c r="AI30" i="61"/>
  <c r="AI55" i="61" s="1"/>
  <c r="CB30" i="61"/>
  <c r="AH30" i="61" l="1"/>
  <c r="AH55" i="61" s="1"/>
  <c r="CA30" i="61"/>
  <c r="BB30" i="61"/>
  <c r="BB55" i="61" s="1"/>
  <c r="CU30" i="61"/>
  <c r="AG30" i="61" l="1"/>
  <c r="AG55" i="61" s="1"/>
  <c r="BZ30" i="61"/>
  <c r="CT30" i="61"/>
  <c r="BA30" i="61"/>
  <c r="BA55" i="61" s="1"/>
  <c r="AF30" i="61" l="1"/>
  <c r="AF55" i="61" s="1"/>
  <c r="BY30" i="61"/>
  <c r="AZ30" i="61"/>
  <c r="AZ55" i="61" s="1"/>
  <c r="CS30" i="61"/>
  <c r="AY30" i="61" l="1"/>
  <c r="AY55" i="61" s="1"/>
  <c r="CR30" i="61"/>
  <c r="AE30" i="61"/>
  <c r="AX30" i="61" l="1"/>
  <c r="AX55" i="61" s="1"/>
  <c r="CQ30" i="61"/>
  <c r="AW30" i="61" l="1"/>
  <c r="AW55" i="61" s="1"/>
  <c r="CP30" i="61"/>
  <c r="AV30" i="61" l="1"/>
  <c r="AV55" i="61" s="1"/>
  <c r="CO30" i="61"/>
  <c r="AU30" i="61" l="1"/>
  <c r="AU55" i="61" s="1"/>
  <c r="CN30" i="61"/>
  <c r="AT30" i="61" l="1"/>
  <c r="AT55" i="61" s="1"/>
  <c r="CM30" i="61"/>
  <c r="AS30" i="61" l="1"/>
  <c r="AS55" i="61" s="1"/>
  <c r="CL30" i="61"/>
  <c r="AR30" i="61" l="1"/>
  <c r="AR55" i="61" s="1"/>
  <c r="CK30" i="61"/>
  <c r="AQ30" i="61" l="1"/>
  <c r="AQ55" i="61" s="1"/>
  <c r="CJ30" i="61"/>
  <c r="AP30" i="61" l="1"/>
  <c r="AP55" i="61" s="1"/>
  <c r="Q16" i="51" l="1"/>
  <c r="Q17" i="51" s="1"/>
  <c r="R17" i="51" s="1"/>
  <c r="S17" i="51" s="1"/>
  <c r="T17" i="51" s="1"/>
  <c r="U17" i="51" s="1"/>
  <c r="V17" i="51" s="1"/>
  <c r="W17" i="51" s="1"/>
  <c r="X17" i="51" s="1"/>
  <c r="Y17" i="51" s="1"/>
  <c r="Z17" i="51" s="1"/>
  <c r="AA17" i="51" s="1"/>
  <c r="AB17" i="51" s="1"/>
  <c r="AC17" i="51" s="1"/>
  <c r="AD17" i="51" s="1"/>
  <c r="AE17" i="51" s="1"/>
  <c r="AF17" i="51" s="1"/>
  <c r="AG17" i="51" s="1"/>
  <c r="AH17" i="51" s="1"/>
  <c r="AI17" i="51" s="1"/>
  <c r="W19" i="51"/>
  <c r="W16" i="51"/>
  <c r="V19" i="51"/>
  <c r="V16" i="51"/>
  <c r="AF19" i="51"/>
  <c r="AF16" i="51"/>
  <c r="AE19" i="51"/>
  <c r="AE16" i="51"/>
  <c r="R19" i="51"/>
  <c r="R16" i="51"/>
  <c r="Y19" i="51"/>
  <c r="Y16" i="51"/>
  <c r="X16" i="51"/>
  <c r="X19" i="51"/>
  <c r="AG16" i="51"/>
  <c r="AG19" i="51"/>
  <c r="AA19" i="51"/>
  <c r="AA16" i="51"/>
  <c r="Z19" i="51"/>
  <c r="Z16" i="51"/>
  <c r="S19" i="51"/>
  <c r="S16" i="51"/>
  <c r="AB19" i="51"/>
  <c r="AB16" i="51"/>
  <c r="AH16" i="51"/>
  <c r="AD19" i="51"/>
  <c r="AD16" i="51"/>
  <c r="U19" i="51"/>
  <c r="U16" i="51"/>
  <c r="AC19" i="51"/>
  <c r="AC16" i="51"/>
  <c r="AO15" i="51"/>
  <c r="AI16" i="51"/>
  <c r="T19" i="51"/>
  <c r="T16" i="51"/>
  <c r="AL17" i="51" l="1"/>
  <c r="D91" i="53" s="1"/>
  <c r="C91" i="53" s="1"/>
  <c r="C92" i="53" s="1"/>
  <c r="D92" i="53" s="1"/>
  <c r="AK17" i="51"/>
  <c r="D93" i="53" l="1"/>
  <c r="DL24" i="61"/>
  <c r="DE24" i="61"/>
  <c r="C93" i="53"/>
  <c r="DF24" i="61" l="1"/>
  <c r="DH24" i="61" s="1"/>
  <c r="DD24" i="61"/>
  <c r="CI24" i="61" s="1"/>
  <c r="DN24" i="61"/>
  <c r="DC24" i="61" s="1"/>
  <c r="DJ24" i="61"/>
  <c r="BI24" i="61" l="1"/>
  <c r="BI54" i="61" s="1"/>
  <c r="DK24" i="61"/>
  <c r="DB24" i="61" s="1"/>
  <c r="DC38" i="61"/>
  <c r="AO24" i="61"/>
  <c r="AO54" i="61" s="1"/>
  <c r="CH24" i="61"/>
  <c r="CI38" i="61"/>
  <c r="CG24" i="61" l="1"/>
  <c r="AN24" i="61"/>
  <c r="AN54" i="61" s="1"/>
  <c r="CH38" i="61"/>
  <c r="BI38" i="61"/>
  <c r="P31" i="34" s="1"/>
  <c r="F38" i="61"/>
  <c r="DC47" i="61"/>
  <c r="BI47" i="61" s="1"/>
  <c r="V87" i="61" s="1"/>
  <c r="DC45" i="61"/>
  <c r="BI45" i="61" s="1"/>
  <c r="V79" i="61" s="1"/>
  <c r="DC43" i="61"/>
  <c r="BI43" i="61" s="1"/>
  <c r="V71" i="61" s="1"/>
  <c r="DC41" i="61"/>
  <c r="AO38" i="61"/>
  <c r="CI41" i="61"/>
  <c r="CI45" i="61"/>
  <c r="AO45" i="61" s="1"/>
  <c r="V75" i="61" s="1"/>
  <c r="C38" i="61"/>
  <c r="CI47" i="61"/>
  <c r="AO47" i="61" s="1"/>
  <c r="V83" i="61" s="1"/>
  <c r="CI43" i="61"/>
  <c r="AO43" i="61" s="1"/>
  <c r="V67" i="61" s="1"/>
  <c r="DA24" i="61"/>
  <c r="BH24" i="61"/>
  <c r="BH54" i="61" s="1"/>
  <c r="DB38" i="61"/>
  <c r="AO41" i="61" l="1"/>
  <c r="V11" i="61"/>
  <c r="C39" i="61"/>
  <c r="CZ24" i="61"/>
  <c r="BG24" i="61"/>
  <c r="BG54" i="61" s="1"/>
  <c r="DA38" i="61"/>
  <c r="CH47" i="61"/>
  <c r="AN47" i="61" s="1"/>
  <c r="CH43" i="61"/>
  <c r="AN43" i="61" s="1"/>
  <c r="AN38" i="61"/>
  <c r="CH45" i="61"/>
  <c r="AN45" i="61" s="1"/>
  <c r="CH41" i="61"/>
  <c r="AN41" i="61" s="1"/>
  <c r="DB41" i="61"/>
  <c r="BH41" i="61" s="1"/>
  <c r="DB43" i="61"/>
  <c r="BH43" i="61" s="1"/>
  <c r="DB47" i="61"/>
  <c r="BH47" i="61" s="1"/>
  <c r="BH38" i="61"/>
  <c r="DB45" i="61"/>
  <c r="BH45" i="61" s="1"/>
  <c r="BI41" i="61"/>
  <c r="F39" i="61"/>
  <c r="V15" i="61"/>
  <c r="AM24" i="61"/>
  <c r="AM54" i="61" s="1"/>
  <c r="CF24" i="61"/>
  <c r="CG38" i="61"/>
  <c r="CE24" i="61" l="1"/>
  <c r="AL24" i="61"/>
  <c r="AL54" i="61" s="1"/>
  <c r="CF38" i="61"/>
  <c r="DA43" i="61"/>
  <c r="BG43" i="61" s="1"/>
  <c r="DA47" i="61"/>
  <c r="BG47" i="61" s="1"/>
  <c r="BG38" i="61"/>
  <c r="DA45" i="61"/>
  <c r="BG45" i="61" s="1"/>
  <c r="DA41" i="61"/>
  <c r="BG41" i="61" s="1"/>
  <c r="AM38" i="61"/>
  <c r="CG43" i="61"/>
  <c r="AM43" i="61" s="1"/>
  <c r="CG41" i="61"/>
  <c r="AM41" i="61" s="1"/>
  <c r="CG45" i="61"/>
  <c r="AM45" i="61" s="1"/>
  <c r="CG47" i="61"/>
  <c r="AM47" i="61" s="1"/>
  <c r="BF24" i="61"/>
  <c r="BF54" i="61" s="1"/>
  <c r="CY24" i="61"/>
  <c r="CZ38" i="61"/>
  <c r="CZ45" i="61" l="1"/>
  <c r="BF45" i="61" s="1"/>
  <c r="CZ43" i="61"/>
  <c r="BF43" i="61" s="1"/>
  <c r="CZ41" i="61"/>
  <c r="BF41" i="61" s="1"/>
  <c r="CZ47" i="61"/>
  <c r="BF47" i="61" s="1"/>
  <c r="BF38" i="61"/>
  <c r="BE24" i="61"/>
  <c r="BE54" i="61" s="1"/>
  <c r="CX24" i="61"/>
  <c r="CY38" i="61"/>
  <c r="CF45" i="61"/>
  <c r="AL45" i="61" s="1"/>
  <c r="CF47" i="61"/>
  <c r="AL47" i="61" s="1"/>
  <c r="CF41" i="61"/>
  <c r="AL41" i="61" s="1"/>
  <c r="CF43" i="61"/>
  <c r="AL43" i="61" s="1"/>
  <c r="AL38" i="61"/>
  <c r="AK24" i="61"/>
  <c r="AK54" i="61" s="1"/>
  <c r="CD24" i="61"/>
  <c r="CE38" i="61"/>
  <c r="AJ24" i="61" l="1"/>
  <c r="AJ54" i="61" s="1"/>
  <c r="CC24" i="61"/>
  <c r="CD38" i="61"/>
  <c r="CY41" i="61"/>
  <c r="BE41" i="61" s="1"/>
  <c r="BE38" i="61"/>
  <c r="CY47" i="61"/>
  <c r="BE47" i="61" s="1"/>
  <c r="CY45" i="61"/>
  <c r="BE45" i="61" s="1"/>
  <c r="CY43" i="61"/>
  <c r="BE43" i="61" s="1"/>
  <c r="CE47" i="61"/>
  <c r="AK47" i="61" s="1"/>
  <c r="CE45" i="61"/>
  <c r="AK45" i="61" s="1"/>
  <c r="CE43" i="61"/>
  <c r="AK43" i="61" s="1"/>
  <c r="AK38" i="61"/>
  <c r="CE41" i="61"/>
  <c r="AK41" i="61" s="1"/>
  <c r="BD24" i="61"/>
  <c r="BD54" i="61" s="1"/>
  <c r="CW24" i="61"/>
  <c r="CX38" i="61"/>
  <c r="CV24" i="61" l="1"/>
  <c r="BC24" i="61"/>
  <c r="BC54" i="61" s="1"/>
  <c r="CW38" i="61"/>
  <c r="CX41" i="61"/>
  <c r="BD41" i="61" s="1"/>
  <c r="CX43" i="61"/>
  <c r="BD43" i="61" s="1"/>
  <c r="BD38" i="61"/>
  <c r="CX45" i="61"/>
  <c r="BD45" i="61" s="1"/>
  <c r="CX47" i="61"/>
  <c r="BD47" i="61" s="1"/>
  <c r="CD41" i="61"/>
  <c r="AJ41" i="61" s="1"/>
  <c r="CD43" i="61"/>
  <c r="AJ43" i="61" s="1"/>
  <c r="CD47" i="61"/>
  <c r="AJ47" i="61" s="1"/>
  <c r="AJ38" i="61"/>
  <c r="CD45" i="61"/>
  <c r="AJ45" i="61" s="1"/>
  <c r="AI24" i="61"/>
  <c r="AI54" i="61" s="1"/>
  <c r="CB24" i="61"/>
  <c r="CC38" i="61"/>
  <c r="CC45" i="61" l="1"/>
  <c r="AI45" i="61" s="1"/>
  <c r="CC43" i="61"/>
  <c r="AI43" i="61" s="1"/>
  <c r="CC41" i="61"/>
  <c r="AI41" i="61" s="1"/>
  <c r="AI38" i="61"/>
  <c r="CC47" i="61"/>
  <c r="AI47" i="61" s="1"/>
  <c r="AH24" i="61"/>
  <c r="AH54" i="61" s="1"/>
  <c r="CA24" i="61"/>
  <c r="CB38" i="61"/>
  <c r="CW45" i="61"/>
  <c r="BC45" i="61" s="1"/>
  <c r="CW47" i="61"/>
  <c r="BC47" i="61" s="1"/>
  <c r="BC38" i="61"/>
  <c r="CW43" i="61"/>
  <c r="BC43" i="61" s="1"/>
  <c r="CW41" i="61"/>
  <c r="BC41" i="61" s="1"/>
  <c r="BB24" i="61"/>
  <c r="BB54" i="61" s="1"/>
  <c r="CU24" i="61"/>
  <c r="CV38" i="61"/>
  <c r="CB41" i="61" l="1"/>
  <c r="AH41" i="61" s="1"/>
  <c r="CB47" i="61"/>
  <c r="AH47" i="61" s="1"/>
  <c r="CB45" i="61"/>
  <c r="AH45" i="61" s="1"/>
  <c r="CB43" i="61"/>
  <c r="AH43" i="61" s="1"/>
  <c r="AH38" i="61"/>
  <c r="BA24" i="61"/>
  <c r="BA54" i="61" s="1"/>
  <c r="CT24" i="61"/>
  <c r="CU38" i="61"/>
  <c r="CV47" i="61"/>
  <c r="BB47" i="61" s="1"/>
  <c r="BB38" i="61"/>
  <c r="CV41" i="61"/>
  <c r="BB41" i="61" s="1"/>
  <c r="CV45" i="61"/>
  <c r="BB45" i="61" s="1"/>
  <c r="CV43" i="61"/>
  <c r="BB43" i="61" s="1"/>
  <c r="AG24" i="61"/>
  <c r="AG54" i="61" s="1"/>
  <c r="BZ24" i="61"/>
  <c r="CA38" i="61"/>
  <c r="BY24" i="61" l="1"/>
  <c r="AF24" i="61"/>
  <c r="AF54" i="61" s="1"/>
  <c r="BZ38" i="61"/>
  <c r="CU47" i="61"/>
  <c r="BA47" i="61" s="1"/>
  <c r="CU43" i="61"/>
  <c r="BA43" i="61" s="1"/>
  <c r="CU41" i="61"/>
  <c r="BA41" i="61" s="1"/>
  <c r="BA38" i="61"/>
  <c r="CU45" i="61"/>
  <c r="BA45" i="61" s="1"/>
  <c r="CS24" i="61"/>
  <c r="AZ24" i="61"/>
  <c r="AZ54" i="61" s="1"/>
  <c r="CT38" i="61"/>
  <c r="CA43" i="61"/>
  <c r="AG43" i="61" s="1"/>
  <c r="CA41" i="61"/>
  <c r="AG41" i="61" s="1"/>
  <c r="CA47" i="61"/>
  <c r="AG47" i="61" s="1"/>
  <c r="AG38" i="61"/>
  <c r="CA45" i="61"/>
  <c r="AG45" i="61" s="1"/>
  <c r="BZ43" i="61" l="1"/>
  <c r="AF43" i="61" s="1"/>
  <c r="BZ45" i="61"/>
  <c r="AF45" i="61" s="1"/>
  <c r="BZ41" i="61"/>
  <c r="AF41" i="61" s="1"/>
  <c r="BZ47" i="61"/>
  <c r="AF47" i="61" s="1"/>
  <c r="AF38" i="61"/>
  <c r="CT41" i="61"/>
  <c r="AZ41" i="61" s="1"/>
  <c r="CT45" i="61"/>
  <c r="AZ45" i="61" s="1"/>
  <c r="CT47" i="61"/>
  <c r="AZ47" i="61" s="1"/>
  <c r="CT43" i="61"/>
  <c r="AZ43" i="61" s="1"/>
  <c r="AZ38" i="61"/>
  <c r="AY24" i="61"/>
  <c r="AY54" i="61" s="1"/>
  <c r="CR24" i="61"/>
  <c r="CS38" i="61"/>
  <c r="AE24" i="61"/>
  <c r="BY38" i="61"/>
  <c r="CS45" i="61" l="1"/>
  <c r="AY45" i="61" s="1"/>
  <c r="CS47" i="61"/>
  <c r="AY47" i="61" s="1"/>
  <c r="CS43" i="61"/>
  <c r="AY43" i="61" s="1"/>
  <c r="AY38" i="61"/>
  <c r="CS41" i="61"/>
  <c r="AY41" i="61" s="1"/>
  <c r="AX24" i="61"/>
  <c r="AX54" i="61" s="1"/>
  <c r="CQ24" i="61"/>
  <c r="CR38" i="61"/>
  <c r="AE38" i="61"/>
  <c r="BY43" i="61"/>
  <c r="AE43" i="61" s="1"/>
  <c r="BY41" i="61"/>
  <c r="AE41" i="61" s="1"/>
  <c r="BY45" i="61"/>
  <c r="AE45" i="61" s="1"/>
  <c r="CR41" i="61" l="1"/>
  <c r="AX41" i="61" s="1"/>
  <c r="CR47" i="61"/>
  <c r="AX47" i="61" s="1"/>
  <c r="CR45" i="61"/>
  <c r="AX45" i="61" s="1"/>
  <c r="CR43" i="61"/>
  <c r="AX43" i="61" s="1"/>
  <c r="AX38" i="61"/>
  <c r="CP24" i="61"/>
  <c r="AW24" i="61"/>
  <c r="AW54" i="61" s="1"/>
  <c r="CQ38" i="61"/>
  <c r="CQ47" i="61" l="1"/>
  <c r="AW47" i="61" s="1"/>
  <c r="CQ43" i="61"/>
  <c r="AW43" i="61" s="1"/>
  <c r="CQ41" i="61"/>
  <c r="AW41" i="61" s="1"/>
  <c r="CQ45" i="61"/>
  <c r="AW45" i="61" s="1"/>
  <c r="AW38" i="61"/>
  <c r="CO24" i="61"/>
  <c r="AV24" i="61"/>
  <c r="AV54" i="61" s="1"/>
  <c r="CP38" i="61"/>
  <c r="CP47" i="61" l="1"/>
  <c r="AV47" i="61" s="1"/>
  <c r="CP43" i="61"/>
  <c r="AV43" i="61" s="1"/>
  <c r="AV38" i="61"/>
  <c r="CP45" i="61"/>
  <c r="AV45" i="61" s="1"/>
  <c r="CP41" i="61"/>
  <c r="AV41" i="61" s="1"/>
  <c r="AU24" i="61"/>
  <c r="AU54" i="61" s="1"/>
  <c r="CN24" i="61"/>
  <c r="CO38" i="61"/>
  <c r="CO43" i="61" l="1"/>
  <c r="AU43" i="61" s="1"/>
  <c r="CO47" i="61"/>
  <c r="AU47" i="61" s="1"/>
  <c r="CO45" i="61"/>
  <c r="AU45" i="61" s="1"/>
  <c r="CO41" i="61"/>
  <c r="AU41" i="61" s="1"/>
  <c r="AU38" i="61"/>
  <c r="CM24" i="61"/>
  <c r="AT24" i="61"/>
  <c r="AT54" i="61" s="1"/>
  <c r="CN38" i="61"/>
  <c r="CN47" i="61" l="1"/>
  <c r="AT47" i="61" s="1"/>
  <c r="CN41" i="61"/>
  <c r="AT41" i="61" s="1"/>
  <c r="CN45" i="61"/>
  <c r="AT45" i="61" s="1"/>
  <c r="CN43" i="61"/>
  <c r="AT43" i="61" s="1"/>
  <c r="AT38" i="61"/>
  <c r="CL24" i="61"/>
  <c r="AS24" i="61"/>
  <c r="AS54" i="61" s="1"/>
  <c r="CM38" i="61"/>
  <c r="CM43" i="61" l="1"/>
  <c r="AS43" i="61" s="1"/>
  <c r="CM47" i="61"/>
  <c r="AS47" i="61" s="1"/>
  <c r="AS38" i="61"/>
  <c r="CM41" i="61"/>
  <c r="AS41" i="61" s="1"/>
  <c r="CM45" i="61"/>
  <c r="AS45" i="61" s="1"/>
  <c r="CK24" i="61"/>
  <c r="AR24" i="61"/>
  <c r="AR54" i="61" s="1"/>
  <c r="CL38" i="61"/>
  <c r="AQ24" i="61" l="1"/>
  <c r="AQ54" i="61" s="1"/>
  <c r="CJ24" i="61"/>
  <c r="CK38" i="61"/>
  <c r="CL41" i="61"/>
  <c r="AR41" i="61" s="1"/>
  <c r="CL43" i="61"/>
  <c r="AR43" i="61" s="1"/>
  <c r="CL47" i="61"/>
  <c r="AR47" i="61" s="1"/>
  <c r="CL45" i="61"/>
  <c r="AR45" i="61" s="1"/>
  <c r="AR38" i="61"/>
  <c r="CK47" i="61" l="1"/>
  <c r="AQ47" i="61" s="1"/>
  <c r="CK43" i="61"/>
  <c r="AQ43" i="61" s="1"/>
  <c r="CK45" i="61"/>
  <c r="AQ45" i="61" s="1"/>
  <c r="CK41" i="61"/>
  <c r="AQ41" i="61" s="1"/>
  <c r="AQ38" i="61"/>
  <c r="AP24" i="61"/>
  <c r="AP54" i="61" s="1"/>
  <c r="CJ38" i="61"/>
  <c r="CJ47" i="61" l="1"/>
  <c r="AP47" i="61" s="1"/>
  <c r="CJ45" i="61"/>
  <c r="AP45" i="61" s="1"/>
  <c r="CJ43" i="61"/>
  <c r="AP43" i="61" s="1"/>
  <c r="AP38" i="61"/>
  <c r="CJ41" i="61"/>
  <c r="AP41"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tc={9B82FAC6-278F-E346-AC72-C7E369E501A7}</author>
  </authors>
  <commentList>
    <comment ref="B74" authorId="0" shapeId="0" xr:uid="{9B82FAC6-278F-E346-AC72-C7E369E501A7}">
      <text>
        <t>[Threaded comment]
Your version of Excel allows you to read this threaded comment; however, any edits to it will get removed if the file is opened in a newer version of Excel. Learn more: https://go.microsoft.com/fwlink/?linkid=870924
Comment:
    2030 values is larger than 2050 in the tool. Becuase the difference is small in scale and to greatly simplify calculations - both values are set equal to the lower value = 2050.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tc={110C88E5-9C3E-9C4A-9F10-52FF0B79E76D}</author>
  </authors>
  <commentList>
    <comment ref="B28" authorId="0" shapeId="0" xr:uid="{110C88E5-9C3E-9C4A-9F10-52FF0B79E76D}">
      <text>
        <t>[Threaded comment]
Your version of Excel allows you to read this threaded comment; however, any edits to it will get removed if the file is opened in a newer version of Excel. Learn more: https://go.microsoft.com/fwlink/?linkid=870924
Comment:
    Values here from Portland / MC’s 2017 GHG Inventory. See Portland GHGs worksheet.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tc={00C94304-DE65-924F-8108-5F74092C96A1}</author>
    <author>tc={23BD65C3-A1E9-7540-BF4D-49892D726310}</author>
    <author>tc={9E9E37AA-01BF-4B4D-82AE-9C9088526E72}</author>
    <author>Microsoft Office User</author>
    <author>tc={4D2D9A1D-730D-2C44-91E1-4B0850BDC012}</author>
    <author>tc={E84D6830-C49B-AB4F-BBC5-9A8823D11314}</author>
    <author>tc={77809641-4A5A-F346-842E-49EF2B2FD243}</author>
    <author>tc={F0961A6F-3103-0343-96C9-59DAE2FA2665}</author>
    <author>tc={82A5186B-EF6D-CC4C-9554-B1B7D98474F7}</author>
    <author>tc={4B24A819-8F2B-2742-AC67-A3092CF59DA3}</author>
    <author>tc={7B8C4AA7-D6A2-D942-A5C7-B9F797901984}</author>
    <author>tc={3AA49E57-1ADC-EB46-9E46-22ED3CC96E85}</author>
    <author>tc={2DCD5371-F20E-9248-9A44-DB8EC766909E}</author>
    <author>tc={73F6B3E5-CC8C-4A3C-BEB5-07F1E675F99D}</author>
    <author>tc={215EF8F2-08DF-42DD-91A7-0615E30B08EB}</author>
    <author>tc={C75D07CA-8A19-EE44-ACFA-78F2F2806B2B}</author>
    <author>tc={7FE2FEA7-13C6-BA48-86C4-29A7DEC1F1B6}</author>
    <author>tc={F249A0C0-D606-9D4A-818D-AE66BD7B4076}</author>
    <author>tc={B35593CE-E75E-D44C-AE61-2D79D49E1F5A}</author>
    <author>tc={697A7BE1-9123-B746-B7C8-0176580D80E9}</author>
    <author>tc={48A2B48A-988F-A042-B999-6FCCA0FBF74E}</author>
    <author>tc={E79AA29D-D606-9643-B18F-185695F135C4}</author>
    <author>tc={0B545559-E04D-814F-AE32-A43EBDA93903}</author>
    <author>tc={228AA3BA-71C8-F54C-B08B-8F5716A940D9}</author>
    <author>tc={4F05F9A7-4097-8A4F-9CD1-CAB14864164D}</author>
    <author>tc={C6238AED-854A-754D-8D92-73C8C05BC45B}</author>
    <author>tc={372D046C-B9AB-0241-8343-8D21DF5D8954}</author>
    <author>tc={79084FA6-AEA0-F24A-8244-F94BAD6500E1}</author>
  </authors>
  <commentList>
    <comment ref="C2" authorId="0" shapeId="0" xr:uid="{00C94304-DE65-924F-8108-5F74092C96A1}">
      <text>
        <t xml:space="preserve">[Threaded comment]
Your version of Excel allows you to read this threaded comment; however, any edits to it will get removed if the file is opened in a newer version of Excel. Learn more: https://go.microsoft.com/fwlink/?linkid=870924
Comment:
    The values in column C and F, (light grey cells with black boarders), may be updated as appropriate for each Climate Strategy. 
Values may be changed for two time periods, 2020 - 2030 and 2030 - 2050. The values for the two time periods are additive with the total reduction (2020 - 2050) shown in column I. 
Some strategies have a limit, based on best currently available information, for the amount of implementation that may be achieved during the given time period. These limits are shown the columns E (2020 - 2030) and columns H (2030 - 2050). If the user input exceeds these limits the cell with highlight RED indicating that the inputs need to be adjusted to within the states limites. </t>
      </text>
    </comment>
    <comment ref="I4" authorId="1" shapeId="0" xr:uid="{23BD65C3-A1E9-7540-BF4D-49892D726310}">
      <text>
        <t>[Threaded comment]
Your version of Excel allows you to read this threaded comment; however, any edits to it will get removed if the file is opened in a newer version of Excel. Learn more: https://go.microsoft.com/fwlink/?linkid=870924
Comment:
    Total Input % cannot exceed the 2050 maximum shown in column H. If the maximum is exceeded the cells in this row will highlighted in red. To remove the red - adjust the inputs to values that total less than the 2050 maximum.</t>
      </text>
    </comment>
    <comment ref="J6" authorId="2" shapeId="0" xr:uid="{9E9E37AA-01BF-4B4D-82AE-9C9088526E72}">
      <text>
        <t xml:space="preserve">[Threaded comment]
Your version of Excel allows you to read this threaded comment; however, any edits to it will get removed if the file is opened in a newer version of Excel. Learn more: https://go.microsoft.com/fwlink/?linkid=870924
Comment:
    Includes reductions from utility integrated resource plans and energy efficiency from new construction consistent with ASHREA 90.1. Average annual growth rate (AAGR) used in Portland Buildings Analysis Tool is 1.3% for the period 2020 - 2050. </t>
      </text>
    </comment>
    <comment ref="C8" authorId="3" shapeId="0" xr:uid="{9B7927EE-26AC-1542-BF4B-4FE0B5F68013}">
      <text>
        <r>
          <rPr>
            <sz val="18"/>
            <color rgb="FF000000"/>
            <rFont val="Calibri"/>
            <family val="2"/>
          </rPr>
          <t xml:space="preserve">Input a value of between 0 - 25%
</t>
        </r>
      </text>
    </comment>
    <comment ref="F8" authorId="3" shapeId="0" xr:uid="{BB019A4A-319D-B143-9571-B55E2E02DC8E}">
      <text>
        <r>
          <rPr>
            <sz val="18"/>
            <color rgb="FF000000"/>
            <rFont val="Calibri"/>
            <family val="2"/>
          </rPr>
          <t xml:space="preserve">User may input a value of between 0 - 50%, but may not exceed a Total of 50% between the 2030 and 2050 input.
</t>
        </r>
      </text>
    </comment>
    <comment ref="J8" authorId="4" shapeId="0" xr:uid="{4D2D9A1D-730D-2C44-91E1-4B0850BDC012}">
      <text>
        <t>[Threaded comment]
Your version of Excel allows you to read this threaded comment; however, any edits to it will get removed if the file is opened in a newer version of Excel. Learn more: https://go.microsoft.com/fwlink/?linkid=870924
Comment:
    Emissions reductions are based on the results from the Architecture 2030’s Portland Buildings Analysis by selecting “% GHG Reduced” for all single family and all multi-family properties. The tool assumes a maximum reduction of 25% by 2030 and and additional 25% by 2050 for a maximum total reduction of 50% between 2020 and 2050.</t>
      </text>
    </comment>
    <comment ref="C10" authorId="3" shapeId="0" xr:uid="{9288E9B4-BA05-8142-A249-24493D40EA93}">
      <text>
        <r>
          <rPr>
            <sz val="18"/>
            <color rgb="FF000000"/>
            <rFont val="Calibri"/>
            <family val="2"/>
          </rPr>
          <t xml:space="preserve">Input a value of between 0 - 25%
</t>
        </r>
      </text>
    </comment>
    <comment ref="F10" authorId="3" shapeId="0" xr:uid="{A23AA6B8-7BF8-FD42-BE24-A0FB97D3F172}">
      <text>
        <r>
          <rPr>
            <sz val="18"/>
            <color rgb="FF000000"/>
            <rFont val="Calibri"/>
            <family val="2"/>
          </rPr>
          <t xml:space="preserve">User may input a value of between 0 - 50%, but may not exceed a Total of 50% between the 2030 and 2050 input.
</t>
        </r>
      </text>
    </comment>
    <comment ref="J10" authorId="5" shapeId="0" xr:uid="{E84D6830-C49B-AB4F-BBC5-9A8823D11314}">
      <text>
        <t>[Threaded comment]
Your version of Excel allows you to read this threaded comment; however, any edits to it will get removed if the file is opened in a newer version of Excel. Learn more: https://go.microsoft.com/fwlink/?linkid=870924
Comment:
    Emissions reductions are based on the results from the Architecture 2030’s Portland Buildings Analysis by selecting “% GHG Reduced” for commercial properties. The tool assumes a maximum reduction of 25% by 2030 and and additional 25% by 2050 for a maximum total reduction of 50% between 2020 and 2050.</t>
      </text>
    </comment>
    <comment ref="C12" authorId="3" shapeId="0" xr:uid="{44BFF8D0-B779-9A47-ACE8-AF21B61D1D61}">
      <text>
        <r>
          <rPr>
            <sz val="18"/>
            <color rgb="FF000000"/>
            <rFont val="Calibri"/>
            <family val="2"/>
          </rPr>
          <t xml:space="preserve">User may input a value of between 0 - 50%
</t>
        </r>
      </text>
    </comment>
    <comment ref="F12" authorId="3" shapeId="0" xr:uid="{132EB347-7B4C-A840-8C21-37ED3168D186}">
      <text>
        <r>
          <rPr>
            <sz val="16"/>
            <color rgb="FF000000"/>
            <rFont val="Calibri"/>
            <family val="2"/>
          </rPr>
          <t xml:space="preserve">User may input a value of between 0 - 50%, but may not exceed a Total of 50% between 2020 and 2050. 
</t>
        </r>
      </text>
    </comment>
    <comment ref="J12" authorId="6" shapeId="0" xr:uid="{77809641-4A5A-F346-842E-49EF2B2FD243}">
      <text>
        <t>[Threaded comment]
Your version of Excel allows you to read this threaded comment; however, any edits to it will get removed if the file is opened in a newer version of Excel. Learn more: https://go.microsoft.com/fwlink/?linkid=870924
Comment:
    R + C = Residential and Commercial Building Sectors
Emissions reductions are based on the results from the Architecture 2030’s Portland Buildings Analysis by selecting “% GHG Reduced” for all new residential and commercial construction between 2020 and 2050. The maximum total reduction for this strategy is 50% by 2050. This wedge is meant to illustrate benefits of various code options.</t>
      </text>
    </comment>
    <comment ref="C14" authorId="3" shapeId="0" xr:uid="{F5A14CC8-E10B-994A-8EBD-7DEEEEE17F9F}">
      <text>
        <r>
          <rPr>
            <sz val="18"/>
            <color rgb="FF000000"/>
            <rFont val="Calibri"/>
            <family val="2"/>
          </rPr>
          <t xml:space="preserve">User may select a value between 53% - 100%. Default value is set equal to the rate required by Oregon’s Renewable Portfolio Standard. This rate was calculated using forecasts provided by local electric utilities. 
</t>
        </r>
        <r>
          <rPr>
            <sz val="18"/>
            <color rgb="FF000000"/>
            <rFont val="Calibri"/>
            <family val="2"/>
          </rPr>
          <t xml:space="preserve">
</t>
        </r>
        <r>
          <rPr>
            <sz val="18"/>
            <color rgb="FF000000"/>
            <rFont val="Calibri"/>
            <family val="2"/>
          </rPr>
          <t xml:space="preserve">Oregon HB2021 requires utilities reduce GHG emissions from electricity 80% by 2030; 90% by 2035; and 100% by 2040. As of this writing (4/2022) the legislation is still in rulemaking and therefore subject to change. 
</t>
        </r>
      </text>
    </comment>
    <comment ref="D14" authorId="7" shapeId="0" xr:uid="{F0961A6F-3103-0343-96C9-59DAE2FA2665}">
      <text>
        <t>[Threaded comment]
Your version of Excel allows you to read this threaded comment; however, any edits to it will get removed if the file is opened in a newer version of Excel. Learn more: https://go.microsoft.com/fwlink/?linkid=870924
Comment:
    2030 Minimum based on existing utility IRPs.</t>
      </text>
    </comment>
    <comment ref="E14" authorId="8" shapeId="0" xr:uid="{82A5186B-EF6D-CC4C-9554-B1B7D98474F7}">
      <text>
        <t>[Threaded comment]
Your version of Excel allows you to read this threaded comment; however, any edits to it will get removed if the file is opened in a newer version of Excel. Learn more: https://go.microsoft.com/fwlink/?linkid=870924
Comment:
    2030 maximum based on Portland’s goal of 100% renewable electricity by 2035.</t>
      </text>
    </comment>
    <comment ref="F14" authorId="3" shapeId="0" xr:uid="{5134E9DA-2653-854C-97D8-C028C9BEEB2B}">
      <text>
        <r>
          <rPr>
            <sz val="18"/>
            <color rgb="FF000000"/>
            <rFont val="Calibri"/>
            <family val="2"/>
          </rPr>
          <t xml:space="preserve">User may input a value of between 19 - 100%, but may not exceed a Total of 100% between 2020 and 2050. Default values for 2030 and 2050 are set equal to the rate required by Oregon’s Renewable Portfolio Standard. This rate was calculated using forecasts provided by local electric utilities. 
</t>
        </r>
        <r>
          <rPr>
            <sz val="18"/>
            <color rgb="FF000000"/>
            <rFont val="Calibri"/>
            <family val="2"/>
          </rPr>
          <t xml:space="preserve">
</t>
        </r>
        <r>
          <rPr>
            <sz val="18"/>
            <color rgb="FF000000"/>
            <rFont val="Calibri"/>
            <family val="2"/>
          </rPr>
          <t xml:space="preserve">Oregon HB2021 requires utilities reduce GHG emissions from electricity 80% by 2030; 90% by 2035; and 100% by 2040. As of this writing (4/2022) the legislation is still in rulemaking and therefore subject to change. </t>
        </r>
      </text>
    </comment>
    <comment ref="G14" authorId="9" shapeId="0" xr:uid="{4B24A819-8F2B-2742-AC67-A3092CF59DA3}">
      <text>
        <t>[Threaded comment]
Your version of Excel allows you to read this threaded comment; however, any edits to it will get removed if the file is opened in a newer version of Excel. Learn more: https://go.microsoft.com/fwlink/?linkid=870924
Comment:
    2050 maximum based on existing utility IRPs.</t>
      </text>
    </comment>
    <comment ref="H14" authorId="10" shapeId="0" xr:uid="{7B8C4AA7-D6A2-D942-A5C7-B9F797901984}">
      <text>
        <t>[Threaded comment]
Your version of Excel allows you to read this threaded comment; however, any edits to it will get removed if the file is opened in a newer version of Excel. Learn more: https://go.microsoft.com/fwlink/?linkid=870924
Comment:
    2050 maximum based on Portland’s goal of 100% renewable electricity by 2035.</t>
      </text>
    </comment>
    <comment ref="J14" authorId="11" shapeId="0" xr:uid="{3AA49E57-1ADC-EB46-9E46-22ED3CC96E85}">
      <text>
        <t xml:space="preserve">[Threaded comment]
Your version of Excel allows you to read this threaded comment; however, any edits to it will get removed if the file is opened in a newer version of Excel. Learn more: https://go.microsoft.com/fwlink/?linkid=870924
Comment:
    Emissions reductions are based on the results from the Architecture 2030’s Portland Buildings Analysis Tool set to equal the benefits for 100% renewable electricity by 2030 (based on Portland’s Climate Emergency resolution. Note that at a minimum, existing electric utility Integrated Resource Plans (IRP) indicate 72% renewable electricity in 2050 without additional action. Note that utility IRP’s indicate anticipated reductions greater than Oregon current renewable portfolio standard requirements. </t>
      </text>
    </comment>
    <comment ref="C16" authorId="3" shapeId="0" xr:uid="{2F714763-48FA-7041-BCA0-430EAD4A7347}">
      <text>
        <r>
          <rPr>
            <sz val="18"/>
            <color rgb="FF000000"/>
            <rFont val="Calibri"/>
            <family val="2"/>
          </rPr>
          <t xml:space="preserve">User may input a value of between 0 - 15% for 2030. This limit is based on existing utility integrated resource planning.
</t>
        </r>
        <r>
          <rPr>
            <sz val="18"/>
            <color rgb="FF000000"/>
            <rFont val="Calibri"/>
            <family val="2"/>
          </rPr>
          <t xml:space="preserve">
</t>
        </r>
        <r>
          <rPr>
            <sz val="18"/>
            <color rgb="FF000000"/>
            <rFont val="Calibri"/>
            <family val="2"/>
          </rPr>
          <t xml:space="preserve">Oregon's Climate Protection Program requires regulated natural gas providers to supply 10% RNG/clean hydrogen by 2030 and 83% by 2050. 
</t>
        </r>
      </text>
    </comment>
    <comment ref="F16" authorId="3" shapeId="0" xr:uid="{C9E93FA1-2AF1-0F42-9EA5-835C655F7EF7}">
      <text>
        <r>
          <rPr>
            <sz val="18"/>
            <color rgb="FF000000"/>
            <rFont val="Calibri"/>
            <family val="2"/>
          </rPr>
          <t xml:space="preserve">User may input a value of between 0 - 30%, but may not exceed a total of 30% between 2020 and 2050.
</t>
        </r>
        <r>
          <rPr>
            <sz val="18"/>
            <color rgb="FF000000"/>
            <rFont val="Calibri"/>
            <family val="2"/>
          </rPr>
          <t xml:space="preserve">
</t>
        </r>
        <r>
          <rPr>
            <sz val="18"/>
            <color rgb="FF000000"/>
            <rFont val="Calibri"/>
            <family val="2"/>
          </rPr>
          <t xml:space="preserve">Oregon's Climate Protection Program requires regulated natural gas providers to supply 10% RNG/clean hydrogen by 2030 and 83% by 2050. 
</t>
        </r>
        <r>
          <rPr>
            <sz val="18"/>
            <color rgb="FF000000"/>
            <rFont val="Calibri"/>
            <family val="2"/>
          </rPr>
          <t xml:space="preserve">
</t>
        </r>
      </text>
    </comment>
    <comment ref="J16" authorId="12" shapeId="0" xr:uid="{2DCD5371-F20E-9248-9A44-DB8EC766909E}">
      <text>
        <t xml:space="preserve">[Threaded comment]
Your version of Excel allows you to read this threaded comment; however, any edits to it will get removed if the file is opened in a newer version of Excel. Learn more: https://go.microsoft.com/fwlink/?linkid=870924
Comment:
    Emissions reductions are based on the results from the Architecture 2030’s Portland Buildings Analysis Tool for Gas GHG Factor set to “RNG”. This setting assumes a maximum of a 30% emissions reduction based on information from Northwest Natural’s 2018 integrated Resource Plan. </t>
      </text>
    </comment>
    <comment ref="J18" authorId="13" shapeId="0" xr:uid="{73F6B3E5-CC8C-4A3C-BEB5-07F1E675F99D}">
      <text>
        <t>[Threaded comment]
Your version of Excel allows you to read this threaded comment; however, any edits to it will get removed if the file is opened in a newer version of Excel. Learn more: https://go.microsoft.com/fwlink/?linkid=870924
Comment:
    Electrified homes are heated and powered by renewable electricity instead of onsite fossil fuel use, for example, natural gas, propane or fuel oil. Emissions reductions are based on the modeled natural gas usage from Architecture 2030’s Portland Buildings Analysis Tool for all existing single family and multi-family homes</t>
      </text>
    </comment>
    <comment ref="J20" authorId="14" shapeId="0" xr:uid="{215EF8F2-08DF-42DD-91A7-0615E30B08EB}">
      <text>
        <t>[Threaded comment]
Your version of Excel allows you to read this threaded comment; however, any edits to it will get removed if the file is opened in a newer version of Excel. Learn more: https://go.microsoft.com/fwlink/?linkid=870924
Comment:
    Electrified buildings are heated and powered by renewable electricity instead of onsite fossil fuel use, for example, natural gas, propane or fuel oil. Emissions reductions are based on the modeled natural gas usage from Architecture 2030’s Portland Buildings Analysis Tool for all existing commercial buildings.</t>
      </text>
    </comment>
    <comment ref="J22" authorId="15" shapeId="0" xr:uid="{C75D07CA-8A19-EE44-ACFA-78F2F2806B2B}">
      <text>
        <t xml:space="preserve">[Threaded comment]
Your version of Excel allows you to read this threaded comment; however, any edits to it will get removed if the file is opened in a newer version of Excel. Learn more: https://go.microsoft.com/fwlink/?linkid=870924
Comment:
    R + C = Residential and Commercial Building Sectors
Reductions calculation using Architechture 2030’s Portland Buildings Analysis Tool. These GHG reductions are equal to forecast natural gas use for future residential and commercial construction. </t>
      </text>
    </comment>
    <comment ref="B24" authorId="16" shapeId="0" xr:uid="{7FE2FEA7-13C6-BA48-86C4-29A7DEC1F1B6}">
      <text>
        <t>[Threaded comment]
Your version of Excel allows you to read this threaded comment; however, any edits to it will get removed if the file is opened in a newer version of Excel. Learn more: https://go.microsoft.com/fwlink/?linkid=870924
Comment:
    Includes industrial natural gas consumption + transport gas customers</t>
      </text>
    </comment>
    <comment ref="J24" authorId="17" shapeId="0" xr:uid="{F249A0C0-D606-9D4A-818D-AE66BD7B4076}">
      <text>
        <t>[Threaded comment]
Your version of Excel allows you to read this threaded comment; however, any edits to it will get removed if the file is opened in a newer version of Excel. Learn more: https://go.microsoft.com/fwlink/?linkid=870924
Comment:
    Emissions reductions are equal to 2017 Portland community emissions for industrial natural gas (minus RNG reductions) and other industrial fuels (propane, diesel, etc.)</t>
      </text>
    </comment>
    <comment ref="C30" authorId="3" shapeId="0" xr:uid="{63F4FC09-C5D9-584E-94C7-B917D30E3FC7}">
      <text>
        <r>
          <rPr>
            <sz val="18"/>
            <color rgb="FF000000"/>
            <rFont val="Calibri"/>
            <family val="2"/>
          </rPr>
          <t xml:space="preserve">User may input a value of between 0 - 100%, but may not exceed a Total of 100% between the 2030 and 2050 input.
</t>
        </r>
        <r>
          <rPr>
            <sz val="18"/>
            <color rgb="FF000000"/>
            <rFont val="Tahoma"/>
            <family val="2"/>
          </rPr>
          <t xml:space="preserve">
</t>
        </r>
      </text>
    </comment>
    <comment ref="F30" authorId="3" shapeId="0" xr:uid="{577C831F-CF02-3A4A-8932-6CEC6C845BF4}">
      <text>
        <r>
          <rPr>
            <sz val="18"/>
            <color rgb="FF000000"/>
            <rFont val="Calibri"/>
            <family val="2"/>
          </rPr>
          <t xml:space="preserve">User may input a value of between 0 - 100%, but may not exceed a Total of 100% between the 2030 and 2050 input.
</t>
        </r>
      </text>
    </comment>
    <comment ref="J30" authorId="18" shapeId="0" xr:uid="{B35593CE-E75E-D44C-AE61-2D79D49E1F5A}">
      <text>
        <t>[Threaded comment]
Your version of Excel allows you to read this threaded comment; however, any edits to it will get removed if the file is opened in a newer version of Excel. Learn more: https://go.microsoft.com/fwlink/?linkid=870924
Comment:
    Reductions are based on 100% of passenger vehicle gasoline emissions from Portland’s 2017 community GHG inventory minus reductions already included in the Transportation Baseline and Policy Scenario. 
Reductions for this action assume electricity as likely replacement and therefore increase or decrease proportionately with the settings for Renewable Electricity Supply.</t>
      </text>
    </comment>
    <comment ref="C32" authorId="19" shapeId="0" xr:uid="{697A7BE1-9123-B746-B7C8-0176580D80E9}">
      <text>
        <t>[Threaded comment]
Your version of Excel allows you to read this threaded comment; however, any edits to it will get removed if the file is opened in a newer version of Excel. Learn more: https://go.microsoft.com/fwlink/?linkid=870924
Comment:
    User may input a value of between 0 - 100%, but may not exceed a Total of 100% between the 2030 and 2050 input.</t>
      </text>
    </comment>
    <comment ref="F32" authorId="20" shapeId="0" xr:uid="{48A2B48A-988F-A042-B999-6FCCA0FBF74E}">
      <text>
        <t>[Threaded comment]
Your version of Excel allows you to read this threaded comment; however, any edits to it will get removed if the file is opened in a newer version of Excel. Learn more: https://go.microsoft.com/fwlink/?linkid=870924
Comment:
    User may input a value of between 0 - 100%, but may not exceed a Total of 100% between the 2030 and 2050 input.</t>
      </text>
    </comment>
    <comment ref="J32" authorId="21" shapeId="0" xr:uid="{E79AA29D-D606-9643-B18F-185695F135C4}">
      <text>
        <t>[Threaded comment]
Your version of Excel allows you to read this threaded comment; however, any edits to it will get removed if the file is opened in a newer version of Excel. Learn more: https://go.microsoft.com/fwlink/?linkid=870924
Comment:
    Reductions are based on 100% of commercial vehicle gasoline emissions from Portland’s 2017 community GHG inventory minus reductions already included in the Transportation Baseline. Reductions for this action increase or decrease proportionately with the settings for Renewable Electricity Supply.</t>
      </text>
    </comment>
    <comment ref="C34" authorId="3" shapeId="0" xr:uid="{214C57A8-3947-EE40-B62C-353164C6172A}">
      <text>
        <r>
          <rPr>
            <sz val="18"/>
            <color rgb="FF000000"/>
            <rFont val="Calibri"/>
            <family val="2"/>
          </rPr>
          <t xml:space="preserve">User may input a value of between 0 - 100%, but may not exceed a Total of 100% between the 2030 and 2050 input.
</t>
        </r>
      </text>
    </comment>
    <comment ref="F34" authorId="3" shapeId="0" xr:uid="{B66149FB-E518-F144-9E77-05FD3664811C}">
      <text>
        <r>
          <rPr>
            <sz val="18"/>
            <color rgb="FF000000"/>
            <rFont val="Calibri"/>
            <family val="2"/>
          </rPr>
          <t xml:space="preserve">User may input a value of between 0 - 100%, but may not exceed a Total of 100% between the 2030 and 2050 input.
</t>
        </r>
      </text>
    </comment>
    <comment ref="J34" authorId="22" shapeId="0" xr:uid="{0B545559-E04D-814F-AE32-A43EBDA93903}">
      <text>
        <t xml:space="preserve">[Threaded comment]
Your version of Excel allows you to read this threaded comment; however, any edits to it will get removed if the file is opened in a newer version of Excel. Learn more: https://go.microsoft.com/fwlink/?linkid=870924
Comment:
    Reductions are based on 100% of diesel emissions from Portland’s 2017 community GHG inventory minus reductions already included in the Transportation Baseline and the selected Policy Scenario. </t>
      </text>
    </comment>
    <comment ref="C36" authorId="3" shapeId="0" xr:uid="{B5D78C64-56A3-364B-A03D-6EF66F1415E5}">
      <text>
        <r>
          <rPr>
            <sz val="18"/>
            <color rgb="FF000000"/>
            <rFont val="Calibri"/>
            <family val="2"/>
          </rPr>
          <t xml:space="preserve">User may input a value of between 0 - 100%, but may not exceed a Total of 100% between the 2030 and 2050 input.
</t>
        </r>
      </text>
    </comment>
    <comment ref="F36" authorId="3" shapeId="0" xr:uid="{68AE582E-5EEF-2340-A431-CE5B5FBD3D8D}">
      <text>
        <r>
          <rPr>
            <sz val="18"/>
            <color rgb="FF000000"/>
            <rFont val="Calibri"/>
            <family val="2"/>
          </rPr>
          <t xml:space="preserve">User may input a value of between 0 - 100%, but may not exceed a Total of 100% between the 2030 and 2050 input.
</t>
        </r>
      </text>
    </comment>
    <comment ref="J36" authorId="23" shapeId="0" xr:uid="{228AA3BA-71C8-F54C-B08B-8F5716A940D9}">
      <text>
        <t xml:space="preserve">[Threaded comment]
Your version of Excel allows you to read this threaded comment; however, any edits to it will get removed if the file is opened in a newer version of Excel. Learn more: https://go.microsoft.com/fwlink/?linkid=870924
Comment:
    Carbon sequestration potential for Multnomah County is provided by the US Forest Service iTree benefits calculator, which provides existing c-sequestration per acre and additional acres of plantable land. </t>
      </text>
    </comment>
    <comment ref="C42" authorId="24" shapeId="0" xr:uid="{4F05F9A7-4097-8A4F-9CD1-CAB14864164D}">
      <text>
        <t xml:space="preserve">[Threaded comment]
Your version of Excel allows you to read this threaded comment; however, any edits to it will get removed if the file is opened in a newer version of Excel. Learn more: https://go.microsoft.com/fwlink/?linkid=870924
Comment:
    The following table provides sense-of-scale data to illistrate the scale of action required for a given strategy to achieve the setting input in the table above. For example, the number of homes that would need to be retrofit in order to achieve energy efficiency savings. 
The following table also provides a simple means to scale the cost to of various actions to support equity policies. The user may unter a per unit cost to estimate the total capital required to support low-income households to make the transition for these strategies. See the grey cells with black boarders. Proxy values are included, but these values should be updated by local experts. </t>
      </text>
    </comment>
    <comment ref="J51" authorId="25" shapeId="0" xr:uid="{C6238AED-854A-754D-8D92-73C8C05BC45B}">
      <text>
        <t xml:space="preserve">[Threaded comment]
Your version of Excel allows you to read this threaded comment; however, any edits to it will get removed if the file is opened in a newer version of Excel. Learn more: https://go.microsoft.com/fwlink/?linkid=870924
Comment:
    Proxy cost entered in row 52 is based on the average Oregon cost for a weatherization retrofit based on data from Oregon Housing and Community Services. For details visit https://olis.leg.state.or.us/liz/2019R1/Downloads/CommitteeMeetingDocument/170708. This value should be updated by local experts to reflect local conditions. </t>
      </text>
    </comment>
    <comment ref="J63" authorId="26" shapeId="0" xr:uid="{372D046C-B9AB-0241-8343-8D21DF5D8954}">
      <text>
        <t xml:space="preserve">[Threaded comment]
Your version of Excel allows you to read this threaded comment; however, any edits to it will get removed if the file is opened in a newer version of Excel. Learn more: https://go.microsoft.com/fwlink/?linkid=870924
Comment:
    Proxy cost values based on average installation costs for a two-head heat pump added to an existing natural gas system. No weatherization costs assumed. This value should be updated by local experts to reflect local conditions. </t>
      </text>
    </comment>
    <comment ref="J76" authorId="27" shapeId="0" xr:uid="{79084FA6-AEA0-F24A-8244-F94BAD6500E1}">
      <text>
        <t xml:space="preserve">[Threaded comment]
Your version of Excel allows you to read this threaded comment; however, any edits to it will get removed if the file is opened in a newer version of Excel. Learn more: https://go.microsoft.com/fwlink/?linkid=870924
Comment:
    Proxy values in row 87 are rough values assuming a $10,000 premium for a new battery electric sedan combined with a combination of available State and Federall tax credits. This cost will vary widely depending on specific circumstances (e.g. new or used vehicle; Federal tax credit available, etc.). This value is intended to represent a rough marginal cost per electric vehicle.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Diesner, Kyle</author>
    <author>John Tydlaska</author>
  </authors>
  <commentList>
    <comment ref="AP15" authorId="0" shapeId="0" xr:uid="{49CAA689-6A48-B049-B921-E8C9B980BD3A}">
      <text>
        <r>
          <rPr>
            <b/>
            <sz val="9"/>
            <color indexed="81"/>
            <rFont val="Tahoma"/>
            <family val="2"/>
          </rPr>
          <t>Diesner, Kyle:</t>
        </r>
        <r>
          <rPr>
            <sz val="9"/>
            <color indexed="81"/>
            <rFont val="Tahoma"/>
            <family val="2"/>
          </rPr>
          <t xml:space="preserve">
Not inlcuded in total</t>
        </r>
      </text>
    </comment>
    <comment ref="AQ15" authorId="0" shapeId="0" xr:uid="{0752E0BE-7CA9-FA4C-B3C0-E930ECDB9216}">
      <text>
        <r>
          <rPr>
            <b/>
            <sz val="9"/>
            <color indexed="81"/>
            <rFont val="Tahoma"/>
            <family val="2"/>
          </rPr>
          <t>Diesner, Kyle:</t>
        </r>
        <r>
          <rPr>
            <sz val="9"/>
            <color indexed="81"/>
            <rFont val="Tahoma"/>
            <family val="2"/>
          </rPr>
          <t xml:space="preserve">
Not inlcuded in total</t>
        </r>
      </text>
    </comment>
    <comment ref="AR15" authorId="0" shapeId="0" xr:uid="{604A0709-22FF-FC42-BDC0-2FA7F00AC15A}">
      <text>
        <r>
          <rPr>
            <b/>
            <sz val="9"/>
            <color indexed="81"/>
            <rFont val="Tahoma"/>
            <family val="2"/>
          </rPr>
          <t>Diesner, Kyle:</t>
        </r>
        <r>
          <rPr>
            <sz val="9"/>
            <color indexed="81"/>
            <rFont val="Tahoma"/>
            <family val="2"/>
          </rPr>
          <t xml:space="preserve">
Not included in total</t>
        </r>
      </text>
    </comment>
    <comment ref="AS15" authorId="0" shapeId="0" xr:uid="{528B7DCA-7961-F045-B6A5-499FC77891B7}">
      <text>
        <r>
          <rPr>
            <b/>
            <sz val="9"/>
            <color indexed="81"/>
            <rFont val="Tahoma"/>
            <family val="2"/>
          </rPr>
          <t>Diesner, Kyle:</t>
        </r>
        <r>
          <rPr>
            <sz val="9"/>
            <color indexed="81"/>
            <rFont val="Tahoma"/>
            <family val="2"/>
          </rPr>
          <t xml:space="preserve">
Not inlcuded in total</t>
        </r>
      </text>
    </comment>
    <comment ref="E105" authorId="1" shapeId="0" xr:uid="{AAC46034-C7CE-AF43-9586-750F94845B22}">
      <text>
        <r>
          <rPr>
            <b/>
            <sz val="8"/>
            <color indexed="81"/>
            <rFont val="Tahoma"/>
            <family val="2"/>
          </rPr>
          <t>John Tydlaska:</t>
        </r>
        <r>
          <rPr>
            <sz val="8"/>
            <color indexed="81"/>
            <rFont val="Tahoma"/>
            <family val="2"/>
          </rPr>
          <t xml:space="preserve">
from eGrid for NWPP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tc={147E5C38-7D83-2B47-B770-C36CA0B89F35}</author>
  </authors>
  <commentList>
    <comment ref="B7" authorId="0" shapeId="0" xr:uid="{147E5C38-7D83-2B47-B770-C36CA0B89F35}">
      <text>
        <t xml:space="preserve">[Threaded comment]
Your version of Excel allows you to read this threaded comment; however, any edits to it will get removed if the file is opened in a newer version of Excel. Learn more: https://go.microsoft.com/fwlink/?linkid=870924
Comment:
    1990 values are unavailable from any State agency or utility. Proxy values for utility-specific 1990 emissions are calculated using 1990 emissions values using the regional grid average multiplied by an average utility specific / regional ratio value calculated using available data years, 2005 - 2017 </t>
      </text>
    </comment>
  </commentList>
</comments>
</file>

<file path=xl/sharedStrings.xml><?xml version="1.0" encoding="utf-8"?>
<sst xmlns="http://schemas.openxmlformats.org/spreadsheetml/2006/main" count="1306" uniqueCount="688">
  <si>
    <t>https://data.census.gov/cedsci/table?q=tenure%20by%20race&amp;tid=DECENNIALSF12010.H14&amp;t=Owner%2FRenter%20%28Tenure%29</t>
  </si>
  <si>
    <t>Total</t>
  </si>
  <si>
    <t>Utility gas</t>
  </si>
  <si>
    <t>LP gas</t>
  </si>
  <si>
    <t>Electricity</t>
  </si>
  <si>
    <t>Fuel Oil</t>
  </si>
  <si>
    <t>Coal</t>
  </si>
  <si>
    <t>Wood</t>
  </si>
  <si>
    <t>Solar Energy</t>
  </si>
  <si>
    <t>Other fuel</t>
  </si>
  <si>
    <t>No fuel</t>
  </si>
  <si>
    <t>2017 Total</t>
  </si>
  <si>
    <t>Owner Occupied</t>
  </si>
  <si>
    <t>Renter Occupied</t>
  </si>
  <si>
    <t>% of Total</t>
  </si>
  <si>
    <t>Housing Units</t>
  </si>
  <si>
    <t>Non-Electric Subtotal</t>
  </si>
  <si>
    <t>Total Non-Electric</t>
  </si>
  <si>
    <t>Totals</t>
  </si>
  <si>
    <t>Residential Electrification</t>
  </si>
  <si>
    <t>Category</t>
  </si>
  <si>
    <t>MT CO2e</t>
  </si>
  <si>
    <t>Carbon dioxide emissions in Multnomah Co., 1990 - 2017</t>
  </si>
  <si>
    <t>Note: Figures have been revised from previous years to incorporate revised data from U.S. E.I.A., updated electricity emission coefficients provided by ICLEI,</t>
  </si>
  <si>
    <t>and estimated ethanol use.</t>
  </si>
  <si>
    <t>Total emissions (metric tons CO2-equivalent)</t>
  </si>
  <si>
    <t>Year</t>
  </si>
  <si>
    <t>Change since previous year</t>
  </si>
  <si>
    <t>Change since1990</t>
  </si>
  <si>
    <t>Residential</t>
  </si>
  <si>
    <t>Commercial</t>
  </si>
  <si>
    <t>Industrial</t>
  </si>
  <si>
    <t>Transportation</t>
  </si>
  <si>
    <t>Solid Waste</t>
  </si>
  <si>
    <t>Wastewater Treatment</t>
  </si>
  <si>
    <t>Fugitive Emissions</t>
  </si>
  <si>
    <t>% change from 1990</t>
  </si>
  <si>
    <t>% change from 2000</t>
  </si>
  <si>
    <t>This report has been generated for Portland, Oregon using ClearPath software suite from ICLEI-USA</t>
  </si>
  <si>
    <t xml:space="preserve"> </t>
  </si>
  <si>
    <t>Total Emissons per square mile</t>
  </si>
  <si>
    <t>Total Emissons per square kilometer</t>
  </si>
  <si>
    <t>Total GPC Compliant</t>
  </si>
  <si>
    <t>Multnomah Co. population</t>
  </si>
  <si>
    <t>Multnomah Co. Jobs</t>
  </si>
  <si>
    <t>Per capita emissions (metric tons CO2-equivalent)</t>
  </si>
  <si>
    <t>TOTAL</t>
  </si>
  <si>
    <t>PGE</t>
  </si>
  <si>
    <t>Pacific Power</t>
  </si>
  <si>
    <t>Utility Production (MWh)</t>
  </si>
  <si>
    <t>Percentage of Total</t>
  </si>
  <si>
    <t>(paste into A1)</t>
  </si>
  <si>
    <t>GHG Emissions Factors</t>
  </si>
  <si>
    <t>Source: ghgemissionselectBbase, "2010-2017 - Greenhouse Gas Emissions From Electricity Use", https://www.oregon.gov/deq/aq/programs/Pages/GHG-Emissions.aspx</t>
  </si>
  <si>
    <t>Megawatt hour 
(MWh)</t>
  </si>
  <si>
    <t>Emission per megawatt hour
(MTCO2e/MWh)</t>
  </si>
  <si>
    <t>Average Emissions per MMBtu (MTCO2e/MMBtu)</t>
  </si>
  <si>
    <t>Total Production (MWh)</t>
  </si>
  <si>
    <t>Average Emissions per MWH (MTCO2e/MWh)</t>
  </si>
  <si>
    <t>Fuel</t>
  </si>
  <si>
    <t>Emissions Factor</t>
  </si>
  <si>
    <t>Units</t>
  </si>
  <si>
    <t>MT CO2e/MMBtu</t>
  </si>
  <si>
    <t>Combined</t>
  </si>
  <si>
    <t>Natural Gas</t>
  </si>
  <si>
    <t>Electricity Grid Split</t>
  </si>
  <si>
    <t xml:space="preserve">Portland  Electricity Grid Split </t>
  </si>
  <si>
    <t xml:space="preserve">Oregon </t>
  </si>
  <si>
    <t>MWh</t>
  </si>
  <si>
    <t xml:space="preserve">Fuel </t>
  </si>
  <si>
    <t>PacifiCorp</t>
  </si>
  <si>
    <t xml:space="preserve">Total (MWh) </t>
  </si>
  <si>
    <t>% of total emissions</t>
  </si>
  <si>
    <t xml:space="preserve">PGE % of Total </t>
  </si>
  <si>
    <t xml:space="preserve">PacifiCorp % of Total </t>
  </si>
  <si>
    <t>Emissios Factor</t>
  </si>
  <si>
    <t>Hydro</t>
  </si>
  <si>
    <t xml:space="preserve">Natural Gas </t>
  </si>
  <si>
    <t>Wind</t>
  </si>
  <si>
    <t>Nuclear</t>
  </si>
  <si>
    <t>Biomass</t>
  </si>
  <si>
    <t>Solar</t>
  </si>
  <si>
    <t xml:space="preserve">Solar </t>
  </si>
  <si>
    <t>Geothermal</t>
  </si>
  <si>
    <t>Biogas</t>
  </si>
  <si>
    <t>Waste</t>
  </si>
  <si>
    <t>Petroleum</t>
  </si>
  <si>
    <t>Other Biogenic</t>
  </si>
  <si>
    <t>Other Non-Biogenic</t>
  </si>
  <si>
    <t>Landfill Gases</t>
  </si>
  <si>
    <t xml:space="preserve">Landfill Gases </t>
  </si>
  <si>
    <t>Others</t>
  </si>
  <si>
    <t xml:space="preserve">Others </t>
  </si>
  <si>
    <t xml:space="preserve">TOTAL </t>
  </si>
  <si>
    <t xml:space="preserve">% of TOTAL </t>
  </si>
  <si>
    <t xml:space="preserve">PGE </t>
  </si>
  <si>
    <t xml:space="preserve">% of Total </t>
  </si>
  <si>
    <t xml:space="preserve">Emissions Factor </t>
  </si>
  <si>
    <t xml:space="preserve">Units </t>
  </si>
  <si>
    <t xml:space="preserve">PGE Market Purchases </t>
  </si>
  <si>
    <t xml:space="preserve">PGE Totals </t>
  </si>
  <si>
    <t xml:space="preserve"> MWh</t>
  </si>
  <si>
    <t xml:space="preserve">Coal </t>
  </si>
  <si>
    <t xml:space="preserve">Market Purchases </t>
  </si>
  <si>
    <t xml:space="preserve">Other Non-Biogenic </t>
  </si>
  <si>
    <t xml:space="preserve">Petroleum </t>
  </si>
  <si>
    <t>SUM</t>
  </si>
  <si>
    <t>Pacific Power/PacifiCorp</t>
  </si>
  <si>
    <t xml:space="preserve">PacifiCorp Market Purchases </t>
  </si>
  <si>
    <t xml:space="preserve">PacifiCorp Totals </t>
  </si>
  <si>
    <t xml:space="preserve">Other Biogenic </t>
  </si>
  <si>
    <t xml:space="preserve">SUM </t>
  </si>
  <si>
    <t>Notes</t>
  </si>
  <si>
    <t>Propane</t>
  </si>
  <si>
    <t>Source</t>
  </si>
  <si>
    <t>% of renewable electricity</t>
  </si>
  <si>
    <t>Kyle Diesner, ClearPath Details Report</t>
  </si>
  <si>
    <t>Natural gas</t>
  </si>
  <si>
    <t>Res natural gas</t>
  </si>
  <si>
    <t>Comm natural gas</t>
  </si>
  <si>
    <t>Ind natural gas</t>
  </si>
  <si>
    <t>Total natural gas</t>
  </si>
  <si>
    <t>Sector-based and Goals</t>
  </si>
  <si>
    <t>Cumulative Totals</t>
  </si>
  <si>
    <t>2030 Goal 50% reduction (compared to 1990)</t>
  </si>
  <si>
    <t>RCI adjustment factors</t>
  </si>
  <si>
    <t>Geography</t>
  </si>
  <si>
    <t>Description</t>
  </si>
  <si>
    <t>unit</t>
  </si>
  <si>
    <t>Existing Carbon Storage</t>
  </si>
  <si>
    <t>Additional from Existing</t>
  </si>
  <si>
    <t>Additional from New</t>
  </si>
  <si>
    <t>Multnomah County</t>
  </si>
  <si>
    <t>MT CO2e / year</t>
  </si>
  <si>
    <t>Baseline</t>
  </si>
  <si>
    <t>New RPS</t>
  </si>
  <si>
    <t>RNG</t>
  </si>
  <si>
    <t>Scenario</t>
  </si>
  <si>
    <t>Commercial Electrification</t>
  </si>
  <si>
    <t>Renewable Natural Gas</t>
  </si>
  <si>
    <t>1990 Sector-based GHG Total</t>
  </si>
  <si>
    <t>1990 Sector-based GHG Total (adjusted for Market-based electricity)</t>
  </si>
  <si>
    <t>Commercial Electric Vehicles</t>
  </si>
  <si>
    <t>Gasoline</t>
  </si>
  <si>
    <t>Diesel</t>
  </si>
  <si>
    <t>Ethanol</t>
  </si>
  <si>
    <t>Biodiesel</t>
  </si>
  <si>
    <t>2017 MT CO2e</t>
  </si>
  <si>
    <t>Portland CAP - 2017 Sector-based, 2017 GHG Inventory results</t>
  </si>
  <si>
    <t>Households</t>
  </si>
  <si>
    <t>UrbanHhDvmtLowInc</t>
  </si>
  <si>
    <t>2017 - 2030 Reduction (MT CO2e)</t>
  </si>
  <si>
    <t>2017 - 2030 Emissions 
(MT CO2e)</t>
  </si>
  <si>
    <t>2017 - 2050 Emissions 
(MT CO2e)</t>
  </si>
  <si>
    <t>2030 - 2050 Reduction 
(MT CO2e)</t>
  </si>
  <si>
    <t>2017 - 2050 Reduction 
(MT CO2e)</t>
  </si>
  <si>
    <t>Vehicle Registrations</t>
  </si>
  <si>
    <t>Passenger</t>
  </si>
  <si>
    <t>https://www.oregon.gov/odot/dmv/pages/news/vehicle_stats.aspx</t>
  </si>
  <si>
    <t>Annual increase, 2017 - 2019</t>
  </si>
  <si>
    <t>Res (regional electricity grid)</t>
  </si>
  <si>
    <t>Comm (regional electricity grid)</t>
  </si>
  <si>
    <t>Total (regional electricity grid)</t>
  </si>
  <si>
    <t>Ind (regional electricity grid)</t>
  </si>
  <si>
    <t>Res (electric utility specific)</t>
  </si>
  <si>
    <t>Comm (electric utility specific)</t>
  </si>
  <si>
    <t>Ind (electric utility specific)</t>
  </si>
  <si>
    <t>Total (electric utility specific)</t>
  </si>
  <si>
    <t>utility specific / regional ratio</t>
  </si>
  <si>
    <t>Res (Utility specific - regional)</t>
  </si>
  <si>
    <t>Comm (Utility specific - regional)</t>
  </si>
  <si>
    <t>Ind (Utility specific - regional)</t>
  </si>
  <si>
    <t>Source Location-based electricity emissions, 1990 - 2017</t>
  </si>
  <si>
    <t>Source Market-based electricity emissions, 2005 - 2017</t>
  </si>
  <si>
    <t>Remaining GHGs</t>
  </si>
  <si>
    <t>Average Annual Reduction</t>
  </si>
  <si>
    <t>acres</t>
  </si>
  <si>
    <t>Building Baseline Reductions</t>
  </si>
  <si>
    <t>https://landscape.itreetools.org/report/dcac7b19-9d92-406d-a8e7-3b4084412b7c/mult-co-executive-summary</t>
  </si>
  <si>
    <t>Green cells used on interative dashboard</t>
  </si>
  <si>
    <t>Green cells used on Dashboard</t>
  </si>
  <si>
    <t>Forest Carbon Storage</t>
  </si>
  <si>
    <t xml:space="preserve">Portland 2017 Community GHG Inventory </t>
  </si>
  <si>
    <t>Total (Utility specific - regional)</t>
  </si>
  <si>
    <t>RCI Sector-based GHG Total (adjusted for Market-based electricity)</t>
  </si>
  <si>
    <t>Forecast Emissions Reductions, 2017 - 2050 by Action Bundle</t>
  </si>
  <si>
    <t>Existing Policies*</t>
  </si>
  <si>
    <t>Industrial Calculations (using Building Analysis Methods and Factors</t>
  </si>
  <si>
    <t>MT CO2e / MMBTU</t>
  </si>
  <si>
    <t>AAGR (% annual reduction)</t>
  </si>
  <si>
    <t>MT CO2e (2017 Baseline)</t>
  </si>
  <si>
    <t>2017 - 2030 Reduction</t>
  </si>
  <si>
    <t>2031 - 2050 Reduction</t>
  </si>
  <si>
    <t>2017 - 2050 Reduction</t>
  </si>
  <si>
    <t>MT CO2e (EF adjusted forcast)</t>
  </si>
  <si>
    <t>2017 - 2050 % Reduction</t>
  </si>
  <si>
    <t>Industrial RNG (30% Renewable by 2050)</t>
  </si>
  <si>
    <t>2017 - 2050 Reductions 
(MT CO2e)</t>
  </si>
  <si>
    <t>MC / Portland Bldg Analysis Ratio</t>
  </si>
  <si>
    <t>value</t>
  </si>
  <si>
    <t>2017 Community GHG Invenotry (R+C only)</t>
  </si>
  <si>
    <t>Building Analysis 2017 Baseline</t>
  </si>
  <si>
    <t>unitless</t>
  </si>
  <si>
    <t>source</t>
  </si>
  <si>
    <t>Portland Buildings Baseline &amp; Projections Analysis</t>
  </si>
  <si>
    <t>2017 Community GHG Inventory - ClearPath Detailed Reports</t>
  </si>
  <si>
    <t>GC Calculation</t>
  </si>
  <si>
    <t>Single Family Home Electrification</t>
  </si>
  <si>
    <t>Commercial Building Electrification</t>
  </si>
  <si>
    <t>2017 Community GHG Invenotry (RCI Baseline)</t>
  </si>
  <si>
    <t>Renewable Electricity Supply (New RPS)</t>
  </si>
  <si>
    <t>Subtotal</t>
  </si>
  <si>
    <t>R + C Maxiumum Potential Reductions</t>
  </si>
  <si>
    <t>RCI Maxiumum Potential Reductions</t>
  </si>
  <si>
    <t>Other Fuels (stationary fuel oil, propane, kerosene, gasoline and diesel)</t>
  </si>
  <si>
    <t>Res Other</t>
  </si>
  <si>
    <t>Comm Other</t>
  </si>
  <si>
    <t>Ind Other</t>
  </si>
  <si>
    <t>Total Other</t>
  </si>
  <si>
    <t>Reductions needed in 2030 (compared to 2017)</t>
  </si>
  <si>
    <t>RCI Baseline Reductions</t>
  </si>
  <si>
    <t>2030- 2050 Slider Total</t>
  </si>
  <si>
    <t>2030- 2050 Annual Ave</t>
  </si>
  <si>
    <t>2020 - 2030 Slider Total</t>
  </si>
  <si>
    <t>2020 - 2030 Total</t>
  </si>
  <si>
    <t>2020 - 2030 Annual Ave</t>
  </si>
  <si>
    <t>2020 - 2030 User Input</t>
  </si>
  <si>
    <t>2020 - 2030 Slider Annual</t>
  </si>
  <si>
    <t>2020 - 2050 Slider Total</t>
  </si>
  <si>
    <t>2020 - 2050 Total</t>
  </si>
  <si>
    <t>2020 - 2050 User Input</t>
  </si>
  <si>
    <t>2030 Minimum</t>
  </si>
  <si>
    <t>2030 Maximum</t>
  </si>
  <si>
    <t>2050 Maximum</t>
  </si>
  <si>
    <t>2050 Minimum</t>
  </si>
  <si>
    <t>metric ton</t>
  </si>
  <si>
    <t>short ton</t>
  </si>
  <si>
    <t xml:space="preserve"> =</t>
  </si>
  <si>
    <t>Conversion Factors - Do not delete</t>
  </si>
  <si>
    <t>Multnomah County Categories</t>
  </si>
  <si>
    <t>Total Land Area</t>
  </si>
  <si>
    <t>Canopy Area</t>
  </si>
  <si>
    <t>Plantable Area</t>
  </si>
  <si>
    <t>Canopy CO2e Storage</t>
  </si>
  <si>
    <t>MT CO2e / acre</t>
  </si>
  <si>
    <t>Plantable CO2e Storage</t>
  </si>
  <si>
    <t>Net-zero goal (w/2030 50% milestone)</t>
  </si>
  <si>
    <t>Action Metric</t>
  </si>
  <si>
    <t>2020 - 2030 Action</t>
  </si>
  <si>
    <t>2030 - 2050 Action</t>
  </si>
  <si>
    <t>Commercial Energy Efficiency</t>
  </si>
  <si>
    <t xml:space="preserve">Source: </t>
  </si>
  <si>
    <t>number of vehicle registrations</t>
  </si>
  <si>
    <t>Good Company estimate of 1990 utility-specific (market-based) emissions</t>
  </si>
  <si>
    <t>2017 GHG Emissions</t>
  </si>
  <si>
    <t>Created by:</t>
  </si>
  <si>
    <t>aaron.toneys@goodcompany.com</t>
  </si>
  <si>
    <t>Questions contact:</t>
  </si>
  <si>
    <t>Remaining GHGs (post Climate Action)</t>
  </si>
  <si>
    <t>Source:</t>
  </si>
  <si>
    <t>https://enviroatlas.epa.gov/enviroatlas/interactivemap/</t>
  </si>
  <si>
    <t>Worksheet</t>
  </si>
  <si>
    <t>Interactive Dashboard</t>
  </si>
  <si>
    <t>Buildings Data</t>
  </si>
  <si>
    <t>Transportation Data</t>
  </si>
  <si>
    <t xml:space="preserve">The Portland GHGs worksheet provides a summary of the Multnomah County community GHG inventory results for 1990 - 2018 by inventory accounting sector. </t>
  </si>
  <si>
    <t xml:space="preserve">The 2030 Goal Calculation worksheet is used to calculate the 2030 Goal and specifically 1990 emissions using utility-specific electricity emissions factors. Utility-specific electricity emissions are used in the PBOT and Buildings analyses, but not in the communities GHG inventory which uses electricity emissions calculated using regional emissions factors. Unfortunately utility-specific factors are not readily available for 1990; therefore this sheet uses the difference between utility-specific and regional average emissions for the time period 2005 - 2017 to estimate 1990 utility-specific emissions. This calculation was needed in order to calculate the communities 2030 goal as currently written (e.g. 50% reduction in 2030 as compared to a 1990 baseline). </t>
  </si>
  <si>
    <t>503-823-4166</t>
  </si>
  <si>
    <t>Kyle Diesner, City of Portland, Climate Action Program Coordinator</t>
  </si>
  <si>
    <t>Kyle.Diesner@portlandoregon.gov</t>
  </si>
  <si>
    <t>Portland Climate Action Plan - 2050 Pathway to Net-Zero - Visualizer Tool</t>
  </si>
  <si>
    <t>Indicator Metric</t>
  </si>
  <si>
    <t>% of plantable land forested</t>
  </si>
  <si>
    <t>Residential Energy Efficiency</t>
  </si>
  <si>
    <t>Toggle Selected</t>
  </si>
  <si>
    <t>na</t>
  </si>
  <si>
    <t>commercial building requiring retrofit</t>
  </si>
  <si>
    <t>Residential Energy Efficiency (existing homes)</t>
  </si>
  <si>
    <t>Commercial Energy Efficiency (existing buildings)</t>
  </si>
  <si>
    <t>Instructions</t>
  </si>
  <si>
    <t>% emissions reduction from renewable natural gas</t>
  </si>
  <si>
    <t>% Reduction from Baseline</t>
  </si>
  <si>
    <t>Climate Action Strategy</t>
  </si>
  <si>
    <t>Industrial Baseline RPS (72% reduction by 2050)</t>
  </si>
  <si>
    <t>2030 Emissions Reduction</t>
  </si>
  <si>
    <t>2050 Emissions Reduction</t>
  </si>
  <si>
    <t>% replacement of gasoline vehicles</t>
  </si>
  <si>
    <t>Low Income</t>
  </si>
  <si>
    <t>People of Color</t>
  </si>
  <si>
    <t>Owner-Occupied</t>
  </si>
  <si>
    <t>Renter-Occupied</t>
  </si>
  <si>
    <t>cost per housing unit</t>
  </si>
  <si>
    <t xml:space="preserve">Residential Energy Efficiency </t>
  </si>
  <si>
    <t>$ / retrofit</t>
  </si>
  <si>
    <t>$ / time period</t>
  </si>
  <si>
    <t>s</t>
  </si>
  <si>
    <t>number of vehicle registration for low-income households</t>
  </si>
  <si>
    <r>
      <t>MT CO</t>
    </r>
    <r>
      <rPr>
        <b/>
        <vertAlign val="subscript"/>
        <sz val="16"/>
        <color theme="0"/>
        <rFont val="Avenir Book"/>
        <family val="2"/>
      </rPr>
      <t>2</t>
    </r>
    <r>
      <rPr>
        <b/>
        <sz val="16"/>
        <color theme="0"/>
        <rFont val="Avenir Book"/>
        <family val="2"/>
      </rPr>
      <t>e</t>
    </r>
  </si>
  <si>
    <t>Population</t>
  </si>
  <si>
    <t xml:space="preserve">White </t>
  </si>
  <si>
    <t>ETO Single Family Participants</t>
  </si>
  <si>
    <t>Households with Public Assistance</t>
  </si>
  <si>
    <t>Electric Heat</t>
  </si>
  <si>
    <t>Natural Gas Heat</t>
  </si>
  <si>
    <t>Other Heat</t>
  </si>
  <si>
    <t>Non-Residential Sites</t>
  </si>
  <si>
    <t>ETO Non-Residential Participants</t>
  </si>
  <si>
    <t>ETO Multi-Family Participants</t>
  </si>
  <si>
    <t>Energy Trust of Oregon County Report: Multnomah</t>
  </si>
  <si>
    <t>persons</t>
  </si>
  <si>
    <t>households</t>
  </si>
  <si>
    <t>% participation for total sites</t>
  </si>
  <si>
    <t>% of total households</t>
  </si>
  <si>
    <t>Non-residential sites</t>
  </si>
  <si>
    <t xml:space="preserve">People of Color </t>
  </si>
  <si>
    <t xml:space="preserve">% of total  </t>
  </si>
  <si>
    <t>Single Family</t>
  </si>
  <si>
    <t>HVAC</t>
  </si>
  <si>
    <t>Weatherization</t>
  </si>
  <si>
    <t>Water Heating</t>
  </si>
  <si>
    <t>ETO Residential Measures</t>
  </si>
  <si>
    <t>Heavy-Duty Vehicles</t>
  </si>
  <si>
    <t>Plantable Land Reforested</t>
  </si>
  <si>
    <t>EV marginal cost</t>
  </si>
  <si>
    <t>Average cost for heat pump installation</t>
  </si>
  <si>
    <t>additional acres planted</t>
  </si>
  <si>
    <t>% of homes electrified</t>
  </si>
  <si>
    <t>Multnomah County  Summary Table</t>
  </si>
  <si>
    <t>housing units requiring retrofit</t>
  </si>
  <si>
    <t>Total Existing Homes</t>
  </si>
  <si>
    <t>Low income</t>
  </si>
  <si>
    <t>% of commercial buildings electrified</t>
  </si>
  <si>
    <t>Average Cost per Weatherization</t>
  </si>
  <si>
    <t>commercial buildings requiring retrofit</t>
  </si>
  <si>
    <t>2050 Total</t>
  </si>
  <si>
    <t>Guided by:</t>
  </si>
  <si>
    <t>503.473.2282</t>
  </si>
  <si>
    <t>Desiree Williams-Rajee &lt;dwr@kapwaconsulting.com&gt;</t>
  </si>
  <si>
    <t>DO NOT DELETE - DATA FOR WEDGE GRAPHIC</t>
  </si>
  <si>
    <t>2020 - 2050 
Total Input %</t>
  </si>
  <si>
    <t>Transportation - Electric Vehicles</t>
  </si>
  <si>
    <t>Buildings - Energy Efficiency</t>
  </si>
  <si>
    <t>Buildings - Electrification</t>
  </si>
  <si>
    <t>Aaron Toneys, Good Company, Senior Associate</t>
  </si>
  <si>
    <t>Desiree Williams-Rajee, Kapwa Consulting, Principal</t>
  </si>
  <si>
    <t>from 1990 Baseline</t>
  </si>
  <si>
    <t>1990 Baseline</t>
  </si>
  <si>
    <t>% Reduction versus 1990 Baseline</t>
  </si>
  <si>
    <t>towards a Net-Zero by 2050 Goal</t>
  </si>
  <si>
    <t>% Reduction from 1990 Baseline</t>
  </si>
  <si>
    <t>$ (2020) / time period</t>
  </si>
  <si>
    <t>2019 values used for all years</t>
  </si>
  <si>
    <t xml:space="preserve">Electricity SFR Existing Building </t>
  </si>
  <si>
    <t xml:space="preserve">Electricity MFR Existing Building </t>
  </si>
  <si>
    <t xml:space="preserve">Electricity COM Existing Building </t>
  </si>
  <si>
    <t xml:space="preserve">Natural Gas SFR Existing Building </t>
  </si>
  <si>
    <t xml:space="preserve">Natural Gas MFR Existing Building </t>
  </si>
  <si>
    <t xml:space="preserve">Natural Gas COM Existing Building </t>
  </si>
  <si>
    <t>Electricity SFR New Construction</t>
  </si>
  <si>
    <t>Electricity MFR  New Construction</t>
  </si>
  <si>
    <t>Electricity COM  New Construction</t>
  </si>
  <si>
    <t>Natural Gas SFR  New Construction</t>
  </si>
  <si>
    <t>Natural Gas MFR  New Construction</t>
  </si>
  <si>
    <t>Natural Gas COM  New Construction</t>
  </si>
  <si>
    <t>2017 (MT CO2e)</t>
  </si>
  <si>
    <t>2030 (MT CO2e)</t>
  </si>
  <si>
    <t>2050 (MT CO2e)</t>
  </si>
  <si>
    <t>Existing Buildings
Electricity Emissions</t>
  </si>
  <si>
    <t>SFR (Rental)</t>
  </si>
  <si>
    <t>SFR (Own-Occ)</t>
  </si>
  <si>
    <t>MFR (Rental, Reg. AH)</t>
  </si>
  <si>
    <t>MFR (Rental, MR)</t>
  </si>
  <si>
    <t>MFR (Condo)</t>
  </si>
  <si>
    <t>COM (S)</t>
  </si>
  <si>
    <t>COM (L)</t>
  </si>
  <si>
    <t>Existing Buildings
Natural Gas Emissions</t>
  </si>
  <si>
    <t>Existing Buildings
Total Emissions</t>
  </si>
  <si>
    <t>New Construction
Electricity Emissions</t>
  </si>
  <si>
    <t>Emissions</t>
  </si>
  <si>
    <t>Reduction</t>
  </si>
  <si>
    <t>%Reduction</t>
  </si>
  <si>
    <t>New Construction
Natural Gas Emissions</t>
  </si>
  <si>
    <t>New Construction
Total Emissions</t>
  </si>
  <si>
    <t>Total
Emissions
MT CO2e</t>
  </si>
  <si>
    <t>Electricity Emissions Factor</t>
  </si>
  <si>
    <t>Natural Gas Emissions Factor</t>
  </si>
  <si>
    <t xml:space="preserve">Projections emailed from Blake Shelide on Dec. 20, awaiting confirmation </t>
  </si>
  <si>
    <t>PGE Projected Emissions</t>
  </si>
  <si>
    <t>OUTDATED</t>
  </si>
  <si>
    <t>lbs CO2e / kWh</t>
  </si>
  <si>
    <t>MTCO2e/MMBtu</t>
  </si>
  <si>
    <t>Calculated based on the following sources:</t>
  </si>
  <si>
    <t>Pacificorp Projected Emissions</t>
  </si>
  <si>
    <t>Pacificorp</t>
  </si>
  <si>
    <t>Blended and Weighted</t>
  </si>
  <si>
    <t>PGE Increase</t>
  </si>
  <si>
    <t>source: 'Grid Mix + GHG Factors'</t>
  </si>
  <si>
    <t>Updated Pacific Power Projections</t>
  </si>
  <si>
    <t xml:space="preserve">2019 IRP Projected Emissions </t>
  </si>
  <si>
    <t>Source: PAC_OR GHG Emissions Estimate_2019 IRP_FINAL</t>
  </si>
  <si>
    <t>MT CO2/MWh</t>
  </si>
  <si>
    <t>MT CO2/MMBtu</t>
  </si>
  <si>
    <t>Updated  PGE Emissions Factors</t>
  </si>
  <si>
    <t>Source: Email from Elysia Treanor pasted below</t>
  </si>
  <si>
    <t>Average annual change PGE</t>
  </si>
  <si>
    <r>
      <t>Electricity generation projections:</t>
    </r>
    <r>
      <rPr>
        <sz val="12"/>
        <color indexed="56"/>
        <rFont val="Arial"/>
        <family val="2"/>
      </rPr>
      <t> Source: PGE 2016 IRP Update, Dated March 8, 2018, Table 10, Page 106 of 110</t>
    </r>
  </si>
  <si>
    <r>
      <t>GHG Emissions projections:</t>
    </r>
    <r>
      <rPr>
        <sz val="12"/>
        <color indexed="56"/>
        <rFont val="Arial"/>
        <family val="2"/>
      </rPr>
      <t> 10/5/18 email from Elysia Treanor to OGWC/Angus Duncan, "primarily based on PGE’s acknowledged 2016 IRP and 2016 IRP Update, which may differ from the emissions forecast resulting from PGE’s next IRP"</t>
    </r>
  </si>
  <si>
    <r>
      <t>Electricity generation projections:</t>
    </r>
    <r>
      <rPr>
        <sz val="12"/>
        <color indexed="56"/>
        <rFont val="Arial"/>
        <family val="2"/>
      </rPr>
      <t> Pacificorp_2050EmissionsEstimate_2017 IRP Update - DRAFT_092418_Summary.xlsx spreadsheet</t>
    </r>
  </si>
  <si>
    <r>
      <t>GHG Emissions projections:</t>
    </r>
    <r>
      <rPr>
        <sz val="12"/>
        <color indexed="56"/>
        <rFont val="Arial"/>
        <family val="2"/>
      </rPr>
      <t> Pacificorp_2050EmissionsEstimate_2017 IRP Update - DRAFT_092418_Summary.xlsx spreadsheet</t>
    </r>
  </si>
  <si>
    <t>Total Electricity Existing Building</t>
  </si>
  <si>
    <t>Total Natural Gas Existing Building</t>
  </si>
  <si>
    <t>Total Electricity New Construction</t>
  </si>
  <si>
    <t>Total Natural Gas New Construction</t>
  </si>
  <si>
    <t>Total Building Emissions</t>
  </si>
  <si>
    <t>Residential Energy Efficiency (existing electricity)</t>
  </si>
  <si>
    <t>Commercial Energy Efficiency (existing electricity)</t>
  </si>
  <si>
    <t>Commercial Energy Efficiency (existing natural gas)</t>
  </si>
  <si>
    <t>Renewable Electricity</t>
  </si>
  <si>
    <t>Up to 100% Renewable Electricity by 2030</t>
  </si>
  <si>
    <t>Up to 15% RNG by 2030, and 30% RNG by 2050</t>
  </si>
  <si>
    <t>Existing Residential Electrification</t>
  </si>
  <si>
    <t>Existing Commercial Electrification</t>
  </si>
  <si>
    <t>Sub total (above reductions)</t>
  </si>
  <si>
    <t>Residential Energy Efficiency (existing natural gas)</t>
  </si>
  <si>
    <t>Up to 10% by 2030, and 100% by 2050</t>
  </si>
  <si>
    <t>Up to 25% GHG Reduction by 2030, and 50% GHG Reduction by 2050</t>
  </si>
  <si>
    <t xml:space="preserve">New Construction Energy Codes </t>
  </si>
  <si>
    <t>New Construction Energy Codes (electricity)</t>
  </si>
  <si>
    <t>New Construction Energy Codes (residential natural gas)</t>
  </si>
  <si>
    <t>New Construction Energy Codes (commercial natural gas)</t>
  </si>
  <si>
    <t>RPS - existing demolition + new construction</t>
  </si>
  <si>
    <t>Existing Residential Energy Efficiency</t>
  </si>
  <si>
    <t>Existing Commercial Energy Efficiency</t>
  </si>
  <si>
    <t>New Residential Natural Gas Ban</t>
  </si>
  <si>
    <t>New Commercial Natural Gas Ban</t>
  </si>
  <si>
    <t>A2030 Building Analysis Emissions</t>
  </si>
  <si>
    <t>New Portland Summary Table (scenarios in bold)</t>
  </si>
  <si>
    <t>Renewable Natural Gas Existing Residential</t>
  </si>
  <si>
    <t>Renewable Natural Gas Existing Commercial</t>
  </si>
  <si>
    <t>Renewable Natural Gas New Residential</t>
  </si>
  <si>
    <t>Renewable Natural Gas New Commercial</t>
  </si>
  <si>
    <t>Up to 100% by 2030 or 2050</t>
  </si>
  <si>
    <t>New Construction Energy Codes</t>
  </si>
  <si>
    <t>Natural Gas Ban</t>
  </si>
  <si>
    <t>.</t>
  </si>
  <si>
    <t>New Construction Energy Codes (R+C)</t>
  </si>
  <si>
    <t>DO NOT DELETE - USED IN DROP DOWNS</t>
  </si>
  <si>
    <t>No</t>
  </si>
  <si>
    <t>Yes</t>
  </si>
  <si>
    <t>Mode Shift Policies</t>
  </si>
  <si>
    <t>New Gas Ban Policies</t>
  </si>
  <si>
    <t>Residential Electrification (existing homes)</t>
  </si>
  <si>
    <t>Commercial Electrification (existing buildings)</t>
  </si>
  <si>
    <t>% of GHGs reduced</t>
  </si>
  <si>
    <t>Up to 50% GHG Reduction by 2030, and 50% GHG Reduction by 2050</t>
  </si>
  <si>
    <t>Year Count</t>
  </si>
  <si>
    <t>2020 - 2030 
Action Input</t>
  </si>
  <si>
    <t>Interactive Dashboard - Inputs Table</t>
  </si>
  <si>
    <t>Cost to Retrofit Low Income Households</t>
  </si>
  <si>
    <t>Cost to Transition for Low Income Households</t>
  </si>
  <si>
    <t>2030 - 2050
 Action Input</t>
  </si>
  <si>
    <t>Portland_GHGs_1990-2017 (unhide worksheets to view)</t>
  </si>
  <si>
    <t>2030 Goal Calculation 
(unhide worksheets to view)</t>
  </si>
  <si>
    <t xml:space="preserve">The Interactive Dashboard is the user interface and likely the only worksheet utilized by most. The Dashboard allows the user to change the scale of activity for a variety of commonly understood high-benefit climate strategies by setting the activity from 0 to 100% for two time periods; 2020 - 2030 and 2030 - 2050. The user may change the values in columns C and F. As the Action settings are changed the wedge graphic will automatically update illustrating the effect on GHG emissions reductions as compared to the community climate goals (yellow dashed line on graphic). In addition to the illustrative wedge graphic - the user will see the "talking point metrics" change below the climate strategy settings. For example, a commonly discussed climate action is shifting from gasoline powered to electric vehicles. As the user changes the settings for electric vehicles the talking point metrics will automatically update to illustrate how many vehicles would need to be substituted from gasoline powered to electric during the time period. </t>
  </si>
  <si>
    <t xml:space="preserve">The Buildings Data worksheet is a summary of the results from the City of Portland's Buildings Analysis and Projections Tool. The Buildings Analysis tool was developed by Architecture 2030 in partnership with City staff and allow users to change settings specific to building-related climate strategies in order to forecast emissions reductions. Residential strategies considered in the Buildings Analysis include use of renewable electricity; use of and natural gas; implementation of Oregon's Zero Energy Building Code in new building; fuel switching from natural gas to electricity in new and existing buildings; energy efficiency retrofits in existing buildings; and a natural gas ban new non-residential buildings. City of Portland staff used this tool to estimate the GHG reduction benefits for various strategies that are used in this visualizer tool. The Buildings Data worksheet summarizes the results and shows how they are aligned with the strategies included in this visualizer tool and the Multnomah County Community GHG Inventory. Industrial building energy use is not included in the Buildings Analysis tool and therefore was modeled separately by Good Company. Also summarized on the Buildings Data worksheet.
In addition the Buildings Data worksheet includes links to resources and graphics to illustrate the relationship between climate action and equity considerations for building energy use. Maps from Energy Trust of Oregon and Oregon's Built Environment Efficiency Working Group are provided that illustrated specific census tracts within Multnomah County with high concentrations of low-income racially diverse households. Resources are also provide that highlight specific properties within Multnomah County that provide affordable housing and represent opportunities to implement energy efficiency strategies to reduce burden on vulnerable households. </t>
  </si>
  <si>
    <t>Green cells used on interactive dashboard</t>
  </si>
  <si>
    <t>U.S. Department of Forestry tool iTree</t>
  </si>
  <si>
    <t>Converted from short tons to metric tons</t>
  </si>
  <si>
    <t>Calculated using iTree data</t>
  </si>
  <si>
    <t>Table 2: Summary of reduction values used on the Interactive Dashboard</t>
  </si>
  <si>
    <t xml:space="preserve">Table 1: Allocation of Multnomah County GHGs to VisionEval transportation categories. Rows 21 - 26 are from Multnomah County's 2017 Community GHG Inventory. Total emissions are allocated to VisionEval categories in column B on the lower part of the table. Reductions are calculated for each scenario considered  in the PBOT analysis  in columns C - J . </t>
  </si>
  <si>
    <t xml:space="preserve">Table 1: 2017 Multnomah County Building GHGs  and Calculation of Per Capita Scaling Factor for the difference between City of Portland and Multnomah County. </t>
  </si>
  <si>
    <t xml:space="preserve">Table 2: City of Portland 2017, 2030, and 2050 GHGs by Fuel Type. 2030 and 2050 values show the forecast difference in emissions by energy source post implementation of reduction strategies. See Table 3 for details by strategy. </t>
  </si>
  <si>
    <t xml:space="preserve">Table 3: City of Portland 2017, 2030, and 2050 GHGs by Climate Action Strategy. 2030 and 2050 values show the forecast difference post implementation of reduction strategies. See Table 2 for details by energy type. </t>
  </si>
  <si>
    <t>Natural Gas in New Construction</t>
  </si>
  <si>
    <t>Yes or No if natural gas is used in new construction</t>
  </si>
  <si>
    <t>Forest Carbon Storage Data</t>
  </si>
  <si>
    <t>2000 Baseline</t>
  </si>
  <si>
    <t>2015 Baseline</t>
  </si>
  <si>
    <t>% Reduction from 2000 Baseline</t>
  </si>
  <si>
    <t>from 2000 Baseline</t>
  </si>
  <si>
    <t>from 2005 Baseline</t>
  </si>
  <si>
    <t>from 2015 Baseline</t>
  </si>
  <si>
    <t>2005 Baseline</t>
  </si>
  <si>
    <t>% Reduction from 2005 Baseline</t>
  </si>
  <si>
    <t>% Reduction from 2015 Baseline</t>
  </si>
  <si>
    <t>% Reduction by Baseline Year</t>
  </si>
  <si>
    <t>Action Metrics</t>
  </si>
  <si>
    <t>Remaining Post 30% RNG</t>
  </si>
  <si>
    <t xml:space="preserve"> = remaining sources of emissions after full implementation. See 2030 Goal Calc. worksheet for more.</t>
  </si>
  <si>
    <t>Industrial Innovation</t>
  </si>
  <si>
    <t xml:space="preserve"> = Green cells used on interative dashboard</t>
  </si>
  <si>
    <t xml:space="preserve"> = Yellow cells are sources of emissions after full implementation. See Portland, GHGs worksheet for more.</t>
  </si>
  <si>
    <t>Total Remaining Emissions for Mult. Cty. Post-CAP Implementation</t>
  </si>
  <si>
    <t>Total Indurstial Remaing Emissions (used in Ind Innovation)</t>
  </si>
  <si>
    <t>See Portland GHGs 1990-2017 for sources</t>
  </si>
  <si>
    <t>Renewable Natural Gas w/RC electrification</t>
  </si>
  <si>
    <t>Renewable Natural Gas wo/RC electrification</t>
  </si>
  <si>
    <t>Residential Electrification (existing homes) - Setting from Dashboard</t>
  </si>
  <si>
    <t>Commercial Electrification (existing buildings) - Setting from Dashboard</t>
  </si>
  <si>
    <t>541-341-4663 x210</t>
  </si>
  <si>
    <t>Baseline Year 2000</t>
  </si>
  <si>
    <t>Baseline Year 2005</t>
  </si>
  <si>
    <t>Pricing &amp; Policy Alignment</t>
  </si>
  <si>
    <t>Programs, Projects, and Services</t>
  </si>
  <si>
    <t>Strategic Electrification</t>
  </si>
  <si>
    <t>Table 1: 2022 VisionEval Modeling - Multnomah County Road Outputs and GHG Reduction by Scenario</t>
  </si>
  <si>
    <t>2017 to 2030 Reduction</t>
  </si>
  <si>
    <t>2030 to 2050 Reduction</t>
  </si>
  <si>
    <t>2017 to 2050 Reduction</t>
  </si>
  <si>
    <t>RefCase</t>
  </si>
  <si>
    <t xml:space="preserve">Fuel Carbon Reduction </t>
  </si>
  <si>
    <t>City of Portland Preferred Scenario</t>
  </si>
  <si>
    <t>Table 3: Adjustment factor Portland/MC Community Inventory and VE MC results</t>
  </si>
  <si>
    <t>Transporation Emissions</t>
  </si>
  <si>
    <t>VE Modeling</t>
  </si>
  <si>
    <t>2017 (MT CO2e0</t>
  </si>
  <si>
    <t>Portland Community GHG Inventory</t>
  </si>
  <si>
    <t>Adjustment Factor</t>
  </si>
  <si>
    <t>Table 4: 2022 VisionEval Modeling - Multnomah County Road Outputs (adjusted for 2017 Portland/MC Community GHG Inventory)</t>
  </si>
  <si>
    <t>% LDV</t>
  </si>
  <si>
    <t>% HDV</t>
  </si>
  <si>
    <t>2050 LDV Remainder</t>
  </si>
  <si>
    <t>2050 HDV 
Remainder</t>
  </si>
  <si>
    <t>2030 LDV Remainder (Post Scenario)</t>
  </si>
  <si>
    <t>2030 HDV Remainder  (Post Scenario)</t>
  </si>
  <si>
    <t>Table 2: 2022 VisionEval Modeling - Multnomah County Road Outputs Scenario Reductions (minus Ref Case)</t>
  </si>
  <si>
    <t xml:space="preserve">Table 5: Table below is used to create interactive results in the Interactive Dashboard between RNG and electrification settings. </t>
  </si>
  <si>
    <t xml:space="preserve">Table 4: Table 4 (Portland only) reduction values adjusted per capita for Multnomah County. Values in green are used in the Interactive Dashboard. </t>
  </si>
  <si>
    <t>Table 4: Pathways Dashboard lookup table for scenario reduction and remaining emissions post scenario action. Post-action emissions are allocated LD and HD Fuel Substitutions</t>
  </si>
  <si>
    <t>Industrial New RPS (100% Renewable by 2040)</t>
  </si>
  <si>
    <t>PBOT VisionEval (VE) Analysis</t>
  </si>
  <si>
    <t>Baseline Year 2015</t>
  </si>
  <si>
    <t>UrbanHHDvmt</t>
  </si>
  <si>
    <t>% low income</t>
  </si>
  <si>
    <t>Ave</t>
  </si>
  <si>
    <t>Low Income Share of LDH Registrations</t>
  </si>
  <si>
    <t>PBOT VE Raw Data</t>
  </si>
  <si>
    <t>2020 Percent HH Low Income</t>
  </si>
  <si>
    <t>RefCase-UrbanHhPopLowInc</t>
  </si>
  <si>
    <t>RefCase-Pop_Urban</t>
  </si>
  <si>
    <t>Source: PBOT, VE Analysis 2022</t>
  </si>
  <si>
    <t>2019 Total Registrations - 2030 Scenario and LDV Settings</t>
  </si>
  <si>
    <t>Total Adjusted - 2050 Policy Settings</t>
  </si>
  <si>
    <t>User Setting for LDV Fuel Replacement (on Dashboard)</t>
  </si>
  <si>
    <t>2030 LDV Vehicle Resitrations</t>
  </si>
  <si>
    <t>2050 LDV Vehicle Registrations</t>
  </si>
  <si>
    <t>2030 to 2050 LDV Difference</t>
  </si>
  <si>
    <t>2030 HDV Vehicle Resitrations</t>
  </si>
  <si>
    <t>2050 HDV Vehicle Registrations</t>
  </si>
  <si>
    <t>2030 to 2050 HDV Difference</t>
  </si>
  <si>
    <t>Industrial RPS RNG</t>
  </si>
  <si>
    <t>Light-Duty Vehicles</t>
  </si>
  <si>
    <t>Calculates baseline emissions reductions for industry use of natural gas and electricity.</t>
  </si>
  <si>
    <t>The Transportation Data worksheet is a summary of the results from PBOTs VisionsEval modeling. The State of Oregon VisionEval model was developed by Oregon Department of Transportation and downscaled by ODOT and PBOT to forecast emissions to 2050 for Multnomah County. See the Transport Data worksheet for strategy details. The Transportation Data worksheet summarizes the VE modeling results used on the Dashboard.</t>
  </si>
  <si>
    <t>The Carbon Sequestration Data worksheet is a summary of the results from the U.S. Department of Forestry's iTree database which inventories existing carbon storage within the County and average annual sequestration rates from existing vegetation. This worksheet also include Good Company modeling calculations to estimate future potential if plantable lands were managed to maximize carbon storage. Existing and future estimates of carbon storage are included for the Portland area only and for Multnomah County. In addition the Carbon Sequestration Data worksheet includes links to resources and graphics to illustrate the relationship between climate action and equity considerations for carbon sequestration. Specifically a map is provided that overlays existing census tract tree canopy coverage with the proportion of low income households within the tract.</t>
  </si>
  <si>
    <t xml:space="preserve"> Version 3 (April 2022)</t>
  </si>
  <si>
    <t>Additional Forest Carbon Storage</t>
  </si>
  <si>
    <t>Replace Remaining Diesel with Renewables</t>
  </si>
  <si>
    <t>% of gasoline replaced (remaining post policy scenario)</t>
  </si>
  <si>
    <t>% of diesel replaced (remaining post policy scenario)</t>
  </si>
  <si>
    <t>TRUCK</t>
  </si>
  <si>
    <t>COMMERCIAL</t>
  </si>
  <si>
    <t>TRUCK+COMM SUM</t>
  </si>
  <si>
    <t>Replace Remaining Gasoline with Renewables</t>
  </si>
  <si>
    <t>Transportation Policy Scenario</t>
  </si>
  <si>
    <t>% reduction compared to building GHG emissions</t>
  </si>
  <si>
    <t>Vehicle Miles Traveled Reduction</t>
  </si>
  <si>
    <t>Transportation Baseline Reductions from Adopted Plans/Policies</t>
  </si>
  <si>
    <t>Building Baseline Reductions from Adopted Plans/Policies</t>
  </si>
  <si>
    <t>2010 VMT</t>
  </si>
  <si>
    <t>2017 to 2030 Reduction VMT</t>
  </si>
  <si>
    <t>2030 % Reduction in LDV VMT (vs 2020 baseline)</t>
  </si>
  <si>
    <t>2050 % Reduction in LDV VMT (vs 2020 baseline)</t>
  </si>
  <si>
    <t>Light Duty Electric Vehicles Needed to Reach Emissions Reductions</t>
  </si>
  <si>
    <t>Transportation Policy Scenario (SELECT)</t>
  </si>
  <si>
    <t>Heavy Duty Vehicle Fuel Substitutions to Reach Emissions Reductions</t>
  </si>
  <si>
    <t>% 2030 GHG Reduction vs 2017 Baseline</t>
  </si>
  <si>
    <t>% 2050 GHG Reduction vs 2017 Baseline</t>
  </si>
  <si>
    <t>% reduction from 2020 transporation emissions</t>
  </si>
  <si>
    <t>% reduction from 2020 (includes Baseline Reduction)</t>
  </si>
  <si>
    <t>Transportation Baseline Reductions</t>
  </si>
  <si>
    <t>incentive cost per vehicle</t>
  </si>
  <si>
    <t xml:space="preserve">% change from 2020 (negative value represents VMTs reduced) </t>
  </si>
  <si>
    <t>Buildings</t>
  </si>
  <si>
    <t>Sector</t>
  </si>
  <si>
    <t>Fuel Or Source</t>
  </si>
  <si>
    <t>Usage</t>
  </si>
  <si>
    <t>Usage Units</t>
  </si>
  <si>
    <t>Residential Energy</t>
  </si>
  <si>
    <t>kWh</t>
  </si>
  <si>
    <t>Therms</t>
  </si>
  <si>
    <t>Distillate Fuel Oil No. 2</t>
  </si>
  <si>
    <t>MMBtu</t>
  </si>
  <si>
    <t>Kerosene</t>
  </si>
  <si>
    <t>Residential Energy Total</t>
  </si>
  <si>
    <t>Commercial Energy</t>
  </si>
  <si>
    <t>Commercial Energy Total</t>
  </si>
  <si>
    <t>Industrial Energy</t>
  </si>
  <si>
    <t>Residual Fuel Oil No. 5</t>
  </si>
  <si>
    <t>Industrial Energy Total</t>
  </si>
  <si>
    <t>Transportation &amp; Mobile Sources</t>
  </si>
  <si>
    <t>LPG</t>
  </si>
  <si>
    <t>VMT</t>
  </si>
  <si>
    <t>Transportation &amp; Mobile Sources Total</t>
  </si>
  <si>
    <t>Waste Sent to Landfill</t>
  </si>
  <si>
    <t>Tons</t>
  </si>
  <si>
    <t>Waste Sent to Incinerator</t>
  </si>
  <si>
    <t>Short Tons</t>
  </si>
  <si>
    <t>Other</t>
  </si>
  <si>
    <t>Solid Waste Total</t>
  </si>
  <si>
    <t>Water &amp; Wastewater</t>
  </si>
  <si>
    <t>Water &amp; Wastewater Total</t>
  </si>
  <si>
    <t>Process &amp; Fugitive Emissions</t>
  </si>
  <si>
    <t>Process &amp; Fugitive Emissions Total</t>
  </si>
  <si>
    <t xml:space="preserve">Total emissions </t>
  </si>
  <si>
    <t>Energy Supply</t>
  </si>
  <si>
    <t>Res</t>
  </si>
  <si>
    <t>Comm</t>
  </si>
  <si>
    <t>Ind</t>
  </si>
  <si>
    <t>Com</t>
  </si>
  <si>
    <t>Total Buildings</t>
  </si>
  <si>
    <t>Industry</t>
  </si>
  <si>
    <t>Transportion</t>
  </si>
  <si>
    <t>trans policy scenario</t>
  </si>
  <si>
    <t>Baseline reduction</t>
  </si>
  <si>
    <t>RFS</t>
  </si>
  <si>
    <t>Total 2030 reduction</t>
  </si>
  <si>
    <t>Replicate Pathway Math</t>
  </si>
  <si>
    <t>baseline building reduction</t>
  </si>
  <si>
    <t>RES EE</t>
  </si>
  <si>
    <t>COM EE</t>
  </si>
  <si>
    <t>RENEWABLES</t>
  </si>
  <si>
    <t>Trans baseline</t>
  </si>
  <si>
    <t>Polciy Scenario</t>
  </si>
  <si>
    <t>RE Elec</t>
  </si>
  <si>
    <t>COM Elec</t>
  </si>
  <si>
    <t>2020 emissions</t>
  </si>
  <si>
    <t>baseline reduction</t>
  </si>
  <si>
    <t>Total Transportation</t>
  </si>
  <si>
    <t>Total 2030 Emissions</t>
  </si>
  <si>
    <t>Percent redux from 1990</t>
  </si>
  <si>
    <t>Reduction from 2020</t>
  </si>
  <si>
    <t>Electricity Supply</t>
  </si>
  <si>
    <t>Metrics for CEW Report</t>
  </si>
  <si>
    <t xml:space="preserve">BAU Total </t>
  </si>
  <si>
    <t>90% reduction</t>
  </si>
  <si>
    <t>10% reduction</t>
  </si>
  <si>
    <t>2030 Baselines</t>
  </si>
  <si>
    <t>Total Electricity Supply</t>
  </si>
  <si>
    <t>Energy Efficiency</t>
  </si>
  <si>
    <t>Electrification</t>
  </si>
  <si>
    <t>Tranportation Scenario</t>
  </si>
  <si>
    <t>Elec Supply Baseline</t>
  </si>
  <si>
    <t>Building Baseline</t>
  </si>
  <si>
    <t>Transportation Baseline</t>
  </si>
  <si>
    <t>Sectors Level Baseline</t>
  </si>
  <si>
    <t>2030 Remaining Emissions</t>
  </si>
  <si>
    <t>% Change from 2020 (2017) total emissions</t>
  </si>
  <si>
    <t>Categories</t>
  </si>
  <si>
    <t>Renewable Grid</t>
  </si>
  <si>
    <t>Total reduction by 2030 from current levels</t>
  </si>
  <si>
    <t>Remaining Emissions (MT CO2e)</t>
  </si>
  <si>
    <t>Electricity Supply (current)</t>
  </si>
  <si>
    <t>Business-as-usual reduction</t>
  </si>
  <si>
    <t>Renewable electricty reduction</t>
  </si>
  <si>
    <t>Subtotal Electricty supply (2030)</t>
  </si>
  <si>
    <t>Buildings (current)</t>
  </si>
  <si>
    <t>Residential energy efficiency  reduction</t>
  </si>
  <si>
    <t>Commerical energy efficiency reduction</t>
  </si>
  <si>
    <t>Residentail electrification</t>
  </si>
  <si>
    <t>Commerical electrification</t>
  </si>
  <si>
    <t>Subtotal Buildings (2030)</t>
  </si>
  <si>
    <t>Transportation (current)</t>
  </si>
  <si>
    <t>Policy Scenario reduction</t>
  </si>
  <si>
    <t>Renewable Fuels Reduction</t>
  </si>
  <si>
    <t>Subtotal Transportation (2030)</t>
  </si>
  <si>
    <t>Industry (2030)</t>
  </si>
  <si>
    <t>Other (2030)</t>
  </si>
  <si>
    <t xml:space="preserve">Total 2030 Emissions </t>
  </si>
  <si>
    <t>USER SETTINGS FOR CEW GRAPHIC:</t>
  </si>
  <si>
    <t>BASELINE EMISSIONS 2020 (2017)</t>
  </si>
  <si>
    <t>BASELINE EMISSIONS BY CEW CATEGORY</t>
  </si>
  <si>
    <t>PATHWAY CEW SCENARIO REDUCTIONS FOR 2030</t>
  </si>
  <si>
    <t>ALLOCATION OF 2030 BULDING BASELINE for CEW GRAPHIC</t>
  </si>
  <si>
    <t>CEW SCENARIO 2030 EMISSIONS by CATEGORY</t>
  </si>
  <si>
    <t xml:space="preserve">TABLE FOR CEW GRAPHIC </t>
  </si>
  <si>
    <t>WITH STRAIGHTLINE REDUCTIONS FROM 2020 to 2030 and 2030 to 2050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</si>
</sst>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
    <numFmt numFmtId="167" formatCode="0.0000"/>
    <numFmt numFmtId="168" formatCode="_(* #,##0.0_);_(* \(#,##0.0\);_(* &quot;-&quot;??_);_(@_)"/>
    <numFmt numFmtId="169" formatCode="0.0"/>
    <numFmt numFmtId="170" formatCode="0.000"/>
    <numFmt numFmtId="171" formatCode="_(&quot;$&quot;* #,##0_);_(&quot;$&quot;* \(#,##0\);_(&quot;$&quot;* &quot;-&quot;??_);_(@_)"/>
    <numFmt numFmtId="172" formatCode="#,##0.000"/>
  </numFmts>
  <fonts count="105">
    <font>
      <sz val="12"/>
      <color theme="1"/>
      <name val="Calibri"/>
      <family val="2"/>
      <scheme val="minor"/>
    </font>
    <font>
      <sz val="10"/>
      <color rgb="FF000000"/>
      <name val="Verdana"/>
      <family val="2"/>
    </font>
    <font>
      <sz val="12"/>
      <color theme="1"/>
      <name val="Calibri"/>
      <family val="2"/>
      <scheme val="minor"/>
    </font>
    <font>
      <b/>
      <sz val="12"/>
      <color theme="1"/>
      <name val="Calibri"/>
      <family val="2"/>
      <scheme val="minor"/>
    </font>
    <font>
      <b/>
      <sz val="10"/>
      <color rgb="FF000000"/>
      <name val="Verdana"/>
      <family val="2"/>
    </font>
    <font>
      <sz val="10"/>
      <color rgb="FF000000"/>
      <name val="Calibri"/>
      <family val="2"/>
    </font>
    <font>
      <b/>
      <sz val="10"/>
      <color rgb="FF000000"/>
      <name val="Calibri"/>
      <family val="2"/>
    </font>
    <font>
      <b/>
      <sz val="12"/>
      <color theme="0"/>
      <name val="Calibri"/>
      <family val="2"/>
      <scheme val="minor"/>
    </font>
    <font>
      <sz val="12"/>
      <color rgb="FFFF0000"/>
      <name val="Calibri"/>
      <family val="2"/>
      <scheme val="minor"/>
    </font>
    <font>
      <sz val="10"/>
      <name val="Arial"/>
      <family val="2"/>
    </font>
    <font>
      <b/>
      <sz val="10"/>
      <name val="Arial"/>
      <family val="2"/>
    </font>
    <font>
      <i/>
      <sz val="10"/>
      <name val="Arial"/>
      <family val="2"/>
    </font>
    <font>
      <sz val="10"/>
      <color rgb="FF222222"/>
      <name val="Arial"/>
      <family val="2"/>
    </font>
    <font>
      <b/>
      <sz val="10"/>
      <color theme="1"/>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u/>
      <sz val="12"/>
      <color theme="10"/>
      <name val="Calibri"/>
      <family val="2"/>
      <scheme val="minor"/>
    </font>
    <font>
      <sz val="12"/>
      <color rgb="FF000000"/>
      <name val="Calibri"/>
      <family val="2"/>
      <scheme val="minor"/>
    </font>
    <font>
      <sz val="11"/>
      <color rgb="FF000000"/>
      <name val="Calibri"/>
      <family val="2"/>
      <scheme val="minor"/>
    </font>
    <font>
      <b/>
      <sz val="11"/>
      <color theme="1"/>
      <name val="Times New Roman"/>
      <family val="1"/>
    </font>
    <font>
      <b/>
      <sz val="12"/>
      <color theme="7"/>
      <name val="Arial"/>
      <family val="2"/>
    </font>
    <font>
      <b/>
      <u/>
      <sz val="12"/>
      <color theme="1"/>
      <name val="Calibri"/>
      <family val="2"/>
      <scheme val="minor"/>
    </font>
    <font>
      <u/>
      <sz val="12"/>
      <color theme="1"/>
      <name val="Calibri"/>
      <family val="2"/>
      <scheme val="minor"/>
    </font>
    <font>
      <b/>
      <sz val="12"/>
      <color rgb="FF000000"/>
      <name val="Calibri"/>
      <family val="2"/>
      <scheme val="minor"/>
    </font>
    <font>
      <sz val="11"/>
      <color theme="1"/>
      <name val="Calibri"/>
      <family val="2"/>
      <scheme val="minor"/>
    </font>
    <font>
      <u/>
      <sz val="10"/>
      <color theme="10"/>
      <name val="Arial"/>
      <family val="2"/>
    </font>
    <font>
      <sz val="11"/>
      <name val="Arial"/>
      <family val="1"/>
    </font>
    <font>
      <sz val="12"/>
      <color theme="1"/>
      <name val="Avenir Book"/>
      <family val="2"/>
    </font>
    <font>
      <b/>
      <sz val="12"/>
      <color theme="1"/>
      <name val="Avenir Book"/>
      <family val="2"/>
    </font>
    <font>
      <b/>
      <sz val="12"/>
      <color theme="0"/>
      <name val="Avenir Book"/>
      <family val="2"/>
    </font>
    <font>
      <i/>
      <sz val="12"/>
      <color theme="1"/>
      <name val="Avenir Book"/>
      <family val="2"/>
    </font>
    <font>
      <b/>
      <sz val="14"/>
      <color theme="1"/>
      <name val="Avenir Book"/>
      <family val="2"/>
    </font>
    <font>
      <b/>
      <sz val="14"/>
      <color theme="0"/>
      <name val="Avenir Book"/>
      <family val="2"/>
    </font>
    <font>
      <sz val="14"/>
      <color theme="1"/>
      <name val="Avenir Book"/>
      <family val="2"/>
    </font>
    <font>
      <sz val="13"/>
      <color rgb="FF000000"/>
      <name val="Calibri"/>
      <family val="2"/>
      <scheme val="minor"/>
    </font>
    <font>
      <sz val="13"/>
      <color rgb="FF111111"/>
      <name val="Roboto"/>
    </font>
    <font>
      <b/>
      <sz val="13"/>
      <color rgb="FF538135"/>
      <name val="Arial"/>
      <family val="2"/>
    </font>
    <font>
      <b/>
      <sz val="13"/>
      <color rgb="FF538135"/>
      <name val="Calibri"/>
      <family val="2"/>
    </font>
    <font>
      <sz val="13"/>
      <color rgb="FF538135"/>
      <name val="Calibri"/>
      <family val="2"/>
    </font>
    <font>
      <sz val="13"/>
      <color rgb="FF000000"/>
      <name val="Calibri"/>
      <family val="2"/>
    </font>
    <font>
      <sz val="14"/>
      <color theme="0"/>
      <name val="Avenir Book"/>
      <family val="2"/>
    </font>
    <font>
      <i/>
      <sz val="12"/>
      <color theme="1"/>
      <name val="Calibri"/>
      <family val="2"/>
      <scheme val="minor"/>
    </font>
    <font>
      <b/>
      <sz val="12"/>
      <color theme="1" tint="0.249977111117893"/>
      <name val="Avenir Book"/>
      <family val="2"/>
    </font>
    <font>
      <sz val="12"/>
      <name val="Calibri"/>
      <family val="2"/>
      <scheme val="minor"/>
    </font>
    <font>
      <sz val="12"/>
      <color rgb="FFC00000"/>
      <name val="Calibri"/>
      <family val="2"/>
      <scheme val="minor"/>
    </font>
    <font>
      <i/>
      <sz val="14"/>
      <color theme="1" tint="0.249977111117893"/>
      <name val="Avenir Book"/>
      <family val="2"/>
    </font>
    <font>
      <sz val="14"/>
      <color theme="1" tint="0.249977111117893"/>
      <name val="Avenir Book"/>
      <family val="2"/>
    </font>
    <font>
      <b/>
      <sz val="14"/>
      <color theme="0"/>
      <name val="Calibri"/>
      <family val="2"/>
      <scheme val="minor"/>
    </font>
    <font>
      <sz val="14"/>
      <color theme="0"/>
      <name val="Calibri"/>
      <family val="2"/>
      <scheme val="minor"/>
    </font>
    <font>
      <b/>
      <i/>
      <sz val="12"/>
      <color theme="1"/>
      <name val="Avenir Book"/>
      <family val="2"/>
    </font>
    <font>
      <b/>
      <sz val="24"/>
      <name val="Avenir Book"/>
      <family val="2"/>
    </font>
    <font>
      <sz val="24"/>
      <name val="Avenir Book"/>
      <family val="2"/>
    </font>
    <font>
      <b/>
      <sz val="18"/>
      <name val="Avenir Book"/>
      <family val="2"/>
    </font>
    <font>
      <sz val="12"/>
      <name val="Avenir Book"/>
      <family val="2"/>
    </font>
    <font>
      <sz val="11"/>
      <name val="Avenir Book"/>
      <family val="2"/>
    </font>
    <font>
      <sz val="10"/>
      <name val="Avenir Book"/>
      <family val="2"/>
    </font>
    <font>
      <sz val="11"/>
      <color theme="1"/>
      <name val="Avenir Book"/>
      <family val="2"/>
    </font>
    <font>
      <u/>
      <sz val="11"/>
      <color theme="10"/>
      <name val="Calibri"/>
      <family val="2"/>
      <scheme val="minor"/>
    </font>
    <font>
      <sz val="11"/>
      <color theme="0"/>
      <name val="Avenir Book"/>
      <family val="2"/>
    </font>
    <font>
      <b/>
      <sz val="11"/>
      <color theme="1"/>
      <name val="Avenir Book"/>
      <family val="2"/>
    </font>
    <font>
      <u/>
      <sz val="11"/>
      <color rgb="FF1F62C1"/>
      <name val="Avenir Book"/>
      <family val="2"/>
    </font>
    <font>
      <b/>
      <sz val="16"/>
      <color theme="1"/>
      <name val="Avenir Book"/>
      <family val="2"/>
    </font>
    <font>
      <i/>
      <sz val="12"/>
      <color theme="1" tint="0.249977111117893"/>
      <name val="Avenir Book"/>
      <family val="2"/>
    </font>
    <font>
      <sz val="12"/>
      <color theme="1" tint="0.249977111117893"/>
      <name val="Avenir Book"/>
      <family val="2"/>
    </font>
    <font>
      <b/>
      <sz val="16"/>
      <color theme="0"/>
      <name val="Avenir Book"/>
      <family val="2"/>
    </font>
    <font>
      <sz val="16"/>
      <color theme="1"/>
      <name val="Avenir Book"/>
      <family val="2"/>
    </font>
    <font>
      <i/>
      <sz val="16"/>
      <color theme="1" tint="0.249977111117893"/>
      <name val="Avenir Book"/>
      <family val="2"/>
    </font>
    <font>
      <b/>
      <sz val="26"/>
      <color theme="5"/>
      <name val="Avenir Book"/>
      <family val="2"/>
    </font>
    <font>
      <b/>
      <sz val="18"/>
      <color theme="1"/>
      <name val="Avenir Book"/>
      <family val="2"/>
    </font>
    <font>
      <i/>
      <sz val="11"/>
      <color theme="1"/>
      <name val="Avenir Book"/>
      <family val="2"/>
    </font>
    <font>
      <b/>
      <i/>
      <sz val="16"/>
      <color theme="1" tint="0.249977111117893"/>
      <name val="Avenir Book"/>
      <family val="2"/>
    </font>
    <font>
      <b/>
      <vertAlign val="subscript"/>
      <sz val="16"/>
      <color theme="0"/>
      <name val="Avenir Book"/>
      <family val="2"/>
    </font>
    <font>
      <sz val="16"/>
      <color theme="1" tint="0.14999847407452621"/>
      <name val="Avenir Book"/>
      <family val="2"/>
    </font>
    <font>
      <b/>
      <i/>
      <sz val="12"/>
      <color theme="1" tint="0.249977111117893"/>
      <name val="Avenir Book"/>
      <family val="2"/>
    </font>
    <font>
      <b/>
      <sz val="18"/>
      <color theme="0"/>
      <name val="Avenir Book"/>
      <family val="2"/>
    </font>
    <font>
      <sz val="16"/>
      <name val="Avenir Book"/>
      <family val="2"/>
    </font>
    <font>
      <b/>
      <i/>
      <sz val="16"/>
      <color theme="1"/>
      <name val="Avenir Book"/>
      <family val="2"/>
    </font>
    <font>
      <b/>
      <sz val="12"/>
      <color theme="1" tint="0.14999847407452621"/>
      <name val="Avenir Book"/>
      <family val="2"/>
    </font>
    <font>
      <sz val="12"/>
      <color theme="1" tint="0.14999847407452621"/>
      <name val="Avenir Book"/>
      <family val="2"/>
    </font>
    <font>
      <i/>
      <sz val="12"/>
      <color theme="1" tint="0.14999847407452621"/>
      <name val="Avenir Book"/>
      <family val="2"/>
    </font>
    <font>
      <b/>
      <u/>
      <sz val="12"/>
      <color rgb="FF1F497D"/>
      <name val="Arial"/>
      <family val="2"/>
    </font>
    <font>
      <b/>
      <sz val="12"/>
      <color rgb="FF000000"/>
      <name val="Roboto"/>
    </font>
    <font>
      <sz val="12"/>
      <color rgb="FF000000"/>
      <name val="Roboto"/>
    </font>
    <font>
      <sz val="12"/>
      <color rgb="FF1F497D"/>
      <name val="Arial"/>
      <family val="2"/>
    </font>
    <font>
      <u/>
      <sz val="12"/>
      <color rgb="FF1F497D"/>
      <name val="Arial"/>
      <family val="2"/>
    </font>
    <font>
      <sz val="12"/>
      <color indexed="56"/>
      <name val="Arial"/>
      <family val="2"/>
    </font>
    <font>
      <b/>
      <i/>
      <sz val="11"/>
      <color rgb="FF000000"/>
      <name val="Calibri"/>
      <family val="2"/>
      <scheme val="minor"/>
    </font>
    <font>
      <b/>
      <sz val="11"/>
      <color rgb="FFFFFFFF"/>
      <name val="Calibri"/>
      <family val="2"/>
      <scheme val="minor"/>
    </font>
    <font>
      <sz val="12"/>
      <color rgb="FFFF0000"/>
      <name val="Avenir Book"/>
      <family val="2"/>
    </font>
    <font>
      <b/>
      <sz val="12"/>
      <color rgb="FFFF0000"/>
      <name val="Avenir Book"/>
      <family val="2"/>
    </font>
    <font>
      <sz val="16"/>
      <color theme="1" tint="0.249977111117893"/>
      <name val="Avenir Book"/>
      <family val="2"/>
    </font>
    <font>
      <b/>
      <sz val="12"/>
      <name val="Avenir Book"/>
      <family val="2"/>
    </font>
    <font>
      <i/>
      <sz val="12"/>
      <name val="Avenir Book"/>
      <family val="2"/>
    </font>
    <font>
      <b/>
      <sz val="20"/>
      <color theme="1"/>
      <name val="Avenir Book"/>
      <family val="2"/>
    </font>
    <font>
      <sz val="18"/>
      <color theme="1"/>
      <name val="Avenir Book"/>
      <family val="2"/>
    </font>
    <font>
      <b/>
      <i/>
      <sz val="12"/>
      <color theme="1" tint="0.14999847407452621"/>
      <name val="Avenir Book"/>
      <family val="2"/>
    </font>
    <font>
      <b/>
      <sz val="12"/>
      <color theme="1"/>
      <name val="Calibri"/>
      <family val="2"/>
    </font>
    <font>
      <sz val="12"/>
      <color theme="1"/>
      <name val="Calibri"/>
      <family val="2"/>
    </font>
    <font>
      <sz val="11"/>
      <color theme="1"/>
      <name val="Calibri"/>
      <family val="2"/>
    </font>
    <font>
      <sz val="18"/>
      <color rgb="FF000000"/>
      <name val="Calibri"/>
      <family val="2"/>
    </font>
    <font>
      <sz val="16"/>
      <color rgb="FF000000"/>
      <name val="Calibri"/>
      <family val="2"/>
    </font>
    <font>
      <sz val="18"/>
      <color rgb="FF000000"/>
      <name val="Tahoma"/>
      <family val="2"/>
    </font>
    <font>
      <b/>
      <sz val="11"/>
      <color theme="1"/>
      <name val="Calibri"/>
      <family val="2"/>
      <scheme val="minor"/>
    </font>
  </fonts>
  <fills count="36">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bgColor indexed="64"/>
      </patternFill>
    </fill>
    <fill>
      <patternFill patternType="solid">
        <fgColor theme="5"/>
        <bgColor indexed="64"/>
      </patternFill>
    </fill>
    <fill>
      <patternFill patternType="solid">
        <fgColor theme="4"/>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7" tint="0.39997558519241921"/>
        <bgColor rgb="FF000000"/>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2"/>
        <bgColor indexed="64"/>
      </patternFill>
    </fill>
    <fill>
      <patternFill patternType="solid">
        <fgColor rgb="FFED7D31"/>
        <bgColor rgb="FF000000"/>
      </patternFill>
    </fill>
    <fill>
      <patternFill patternType="solid">
        <fgColor rgb="FFFF0000"/>
        <bgColor rgb="FF000000"/>
      </patternFill>
    </fill>
    <fill>
      <patternFill patternType="solid">
        <fgColor rgb="FF808080"/>
        <bgColor rgb="FF000000"/>
      </patternFill>
    </fill>
    <fill>
      <patternFill patternType="solid">
        <fgColor theme="8" tint="0.79998168889431442"/>
        <bgColor indexed="64"/>
      </patternFill>
    </fill>
    <fill>
      <patternFill patternType="solid">
        <fgColor rgb="FF8EA9DB"/>
        <bgColor indexed="64"/>
      </patternFill>
    </fill>
    <fill>
      <patternFill patternType="solid">
        <fgColor rgb="FF305396"/>
        <bgColor indexed="64"/>
      </patternFill>
    </fill>
    <fill>
      <patternFill patternType="solid">
        <fgColor rgb="FF4472C5"/>
        <bgColor indexed="64"/>
      </patternFill>
    </fill>
    <fill>
      <patternFill patternType="solid">
        <fgColor rgb="FFE6C359"/>
        <bgColor indexed="64"/>
      </patternFill>
    </fill>
    <fill>
      <patternFill patternType="solid">
        <fgColor theme="4" tint="0.79998168889431442"/>
        <bgColor indexed="64"/>
      </patternFill>
    </fill>
    <fill>
      <patternFill patternType="solid">
        <fgColor theme="7" tint="0.59999389629810485"/>
        <bgColor indexed="64"/>
      </patternFill>
    </fill>
  </fills>
  <borders count="3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5">
    <xf numFmtId="0" fontId="0" fillId="0" borderId="0"/>
    <xf numFmtId="9" fontId="2" fillId="0" borderId="0" applyFont="0" applyFill="0" applyBorder="0" applyAlignment="0" applyProtection="0"/>
    <xf numFmtId="43" fontId="2"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8" fillId="0" borderId="0" applyNumberFormat="0" applyFill="0" applyBorder="0" applyAlignment="0" applyProtection="0"/>
    <xf numFmtId="0" fontId="27" fillId="0" borderId="0" applyNumberFormat="0" applyFill="0" applyBorder="0" applyAlignment="0" applyProtection="0"/>
    <xf numFmtId="0" fontId="9" fillId="0" borderId="0"/>
    <xf numFmtId="0" fontId="28" fillId="0" borderId="0"/>
    <xf numFmtId="0" fontId="26"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845">
    <xf numFmtId="0" fontId="0" fillId="0" borderId="0" xfId="0"/>
    <xf numFmtId="0" fontId="1" fillId="0" borderId="0" xfId="0" applyFont="1"/>
    <xf numFmtId="3" fontId="0" fillId="0" borderId="0" xfId="0" applyNumberFormat="1"/>
    <xf numFmtId="9" fontId="0" fillId="0" borderId="0" xfId="1" applyFont="1"/>
    <xf numFmtId="0" fontId="4" fillId="0" borderId="0" xfId="0" applyFont="1"/>
    <xf numFmtId="0" fontId="3" fillId="0" borderId="0" xfId="0" applyFont="1"/>
    <xf numFmtId="9" fontId="3" fillId="0" borderId="0" xfId="1" applyFont="1"/>
    <xf numFmtId="9" fontId="0" fillId="0" borderId="0" xfId="0" applyNumberFormat="1"/>
    <xf numFmtId="3" fontId="3" fillId="0" borderId="0" xfId="0" applyNumberFormat="1" applyFont="1"/>
    <xf numFmtId="0" fontId="0" fillId="0" borderId="0" xfId="0" applyAlignment="1">
      <alignment horizontal="center"/>
    </xf>
    <xf numFmtId="0" fontId="3" fillId="0" borderId="0" xfId="0" applyFont="1" applyAlignment="1">
      <alignment horizontal="center"/>
    </xf>
    <xf numFmtId="10" fontId="0" fillId="0" borderId="0" xfId="0" applyNumberFormat="1"/>
    <xf numFmtId="0" fontId="5" fillId="0" borderId="0" xfId="0" applyFont="1"/>
    <xf numFmtId="0" fontId="6" fillId="0" borderId="0" xfId="0" applyFont="1"/>
    <xf numFmtId="0" fontId="5" fillId="0" borderId="0" xfId="0" applyFont="1" applyAlignment="1">
      <alignment horizontal="left" indent="1"/>
    </xf>
    <xf numFmtId="0" fontId="10" fillId="0" borderId="0" xfId="3" applyFont="1"/>
    <xf numFmtId="0" fontId="9" fillId="0" borderId="0" xfId="3"/>
    <xf numFmtId="43" fontId="9" fillId="0" borderId="0" xfId="4" applyFont="1" applyFill="1"/>
    <xf numFmtId="0" fontId="11" fillId="0" borderId="0" xfId="3" applyFont="1"/>
    <xf numFmtId="43" fontId="9" fillId="0" borderId="0" xfId="3" applyNumberFormat="1" applyAlignment="1">
      <alignment horizontal="center"/>
    </xf>
    <xf numFmtId="164" fontId="9" fillId="0" borderId="0" xfId="4" applyNumberFormat="1" applyFont="1" applyFill="1"/>
    <xf numFmtId="164" fontId="12" fillId="0" borderId="0" xfId="4" applyNumberFormat="1" applyFont="1" applyFill="1"/>
    <xf numFmtId="43" fontId="9" fillId="0" borderId="0" xfId="3" applyNumberFormat="1"/>
    <xf numFmtId="9" fontId="9" fillId="0" borderId="0" xfId="5" applyFont="1" applyFill="1"/>
    <xf numFmtId="3" fontId="9" fillId="0" borderId="0" xfId="3" applyNumberFormat="1"/>
    <xf numFmtId="0" fontId="10" fillId="0" borderId="1" xfId="3" applyFont="1" applyBorder="1" applyProtection="1">
      <protection locked="0"/>
    </xf>
    <xf numFmtId="0" fontId="10" fillId="0" borderId="1" xfId="3" applyFont="1" applyBorder="1" applyAlignment="1" applyProtection="1">
      <alignment horizontal="right"/>
      <protection locked="0"/>
    </xf>
    <xf numFmtId="0" fontId="10" fillId="0" borderId="0" xfId="3" applyFont="1" applyAlignment="1">
      <alignment wrapText="1"/>
    </xf>
    <xf numFmtId="0" fontId="9" fillId="0" borderId="0" xfId="3" applyAlignment="1">
      <alignment wrapText="1"/>
    </xf>
    <xf numFmtId="164" fontId="9" fillId="0" borderId="0" xfId="3" applyNumberFormat="1"/>
    <xf numFmtId="0" fontId="10" fillId="0" borderId="0" xfId="3" applyFont="1" applyAlignment="1" applyProtection="1">
      <alignment horizontal="right"/>
      <protection locked="0"/>
    </xf>
    <xf numFmtId="3" fontId="9" fillId="0" borderId="0" xfId="3" applyNumberFormat="1" applyAlignment="1" applyProtection="1">
      <alignment vertical="top"/>
      <protection locked="0"/>
    </xf>
    <xf numFmtId="164" fontId="0" fillId="0" borderId="0" xfId="4" applyNumberFormat="1" applyFont="1"/>
    <xf numFmtId="165" fontId="9" fillId="0" borderId="0" xfId="5" applyNumberFormat="1" applyFont="1" applyFill="1" applyAlignment="1">
      <alignment vertical="top"/>
    </xf>
    <xf numFmtId="9" fontId="9" fillId="0" borderId="0" xfId="5" applyFont="1" applyFill="1" applyAlignment="1">
      <alignment vertical="top"/>
    </xf>
    <xf numFmtId="0" fontId="9" fillId="0" borderId="0" xfId="3" applyAlignment="1">
      <alignment vertical="top"/>
    </xf>
    <xf numFmtId="164" fontId="9" fillId="0" borderId="0" xfId="3" applyNumberFormat="1" applyAlignment="1">
      <alignment vertical="top"/>
    </xf>
    <xf numFmtId="3" fontId="9" fillId="0" borderId="0" xfId="3" applyNumberFormat="1" applyAlignment="1">
      <alignment vertical="top"/>
    </xf>
    <xf numFmtId="3" fontId="12" fillId="0" borderId="0" xfId="3" applyNumberFormat="1" applyFont="1"/>
    <xf numFmtId="3" fontId="12" fillId="0" borderId="0" xfId="3" applyNumberFormat="1" applyFont="1" applyAlignment="1">
      <alignment vertical="center" wrapText="1" readingOrder="1"/>
    </xf>
    <xf numFmtId="3" fontId="9" fillId="0" borderId="0" xfId="4" applyNumberFormat="1" applyFont="1" applyFill="1" applyBorder="1"/>
    <xf numFmtId="3" fontId="9" fillId="0" borderId="0" xfId="3" applyNumberFormat="1" applyProtection="1">
      <protection locked="0"/>
    </xf>
    <xf numFmtId="9" fontId="0" fillId="0" borderId="0" xfId="5" applyFont="1"/>
    <xf numFmtId="3" fontId="10" fillId="0" borderId="0" xfId="3" applyNumberFormat="1" applyFont="1" applyProtection="1">
      <protection locked="0"/>
    </xf>
    <xf numFmtId="0" fontId="9" fillId="0" borderId="0" xfId="3" applyProtection="1">
      <protection locked="0"/>
    </xf>
    <xf numFmtId="166" fontId="9" fillId="0" borderId="0" xfId="4" applyNumberFormat="1" applyFont="1" applyFill="1"/>
    <xf numFmtId="3" fontId="9" fillId="0" borderId="0" xfId="4" applyNumberFormat="1" applyFont="1" applyFill="1"/>
    <xf numFmtId="0" fontId="10" fillId="0" borderId="0" xfId="3" applyFont="1" applyProtection="1">
      <protection locked="0"/>
    </xf>
    <xf numFmtId="10" fontId="9" fillId="0" borderId="0" xfId="5" applyNumberFormat="1" applyFont="1" applyFill="1"/>
    <xf numFmtId="9" fontId="9" fillId="0" borderId="0" xfId="5" applyFont="1" applyFill="1" applyProtection="1">
      <protection locked="0"/>
    </xf>
    <xf numFmtId="164" fontId="13" fillId="0" borderId="0" xfId="4" applyNumberFormat="1" applyFont="1"/>
    <xf numFmtId="14" fontId="9" fillId="0" borderId="0" xfId="3" applyNumberFormat="1" applyProtection="1">
      <protection locked="0"/>
    </xf>
    <xf numFmtId="0" fontId="10" fillId="0" borderId="0" xfId="3" applyFont="1" applyAlignment="1">
      <alignment horizontal="right"/>
    </xf>
    <xf numFmtId="3" fontId="10" fillId="0" borderId="0" xfId="3" applyNumberFormat="1" applyFont="1"/>
    <xf numFmtId="0" fontId="10" fillId="0" borderId="1" xfId="3" applyFont="1" applyBorder="1"/>
    <xf numFmtId="164" fontId="0" fillId="0" borderId="0" xfId="4" applyNumberFormat="1" applyFont="1" applyFill="1" applyBorder="1"/>
    <xf numFmtId="164" fontId="0" fillId="0" borderId="0" xfId="4" applyNumberFormat="1" applyFont="1" applyFill="1"/>
    <xf numFmtId="166" fontId="9" fillId="0" borderId="0" xfId="3" applyNumberFormat="1" applyProtection="1">
      <protection locked="0"/>
    </xf>
    <xf numFmtId="166" fontId="9" fillId="0" borderId="0" xfId="3" applyNumberFormat="1"/>
    <xf numFmtId="164" fontId="9" fillId="0" borderId="0" xfId="5" applyNumberFormat="1" applyFont="1" applyFill="1"/>
    <xf numFmtId="0" fontId="10" fillId="0" borderId="1" xfId="3" applyFont="1" applyBorder="1" applyAlignment="1">
      <alignment wrapText="1"/>
    </xf>
    <xf numFmtId="165" fontId="9" fillId="0" borderId="0" xfId="5" applyNumberFormat="1" applyFont="1" applyFill="1"/>
    <xf numFmtId="164" fontId="9" fillId="0" borderId="1" xfId="4" applyNumberFormat="1" applyFont="1" applyFill="1" applyBorder="1"/>
    <xf numFmtId="165" fontId="9" fillId="0" borderId="1" xfId="5" applyNumberFormat="1" applyFont="1" applyFill="1" applyBorder="1"/>
    <xf numFmtId="167" fontId="9" fillId="0" borderId="0" xfId="5" applyNumberFormat="1" applyFont="1" applyFill="1"/>
    <xf numFmtId="167" fontId="9" fillId="0" borderId="0" xfId="3" applyNumberFormat="1"/>
    <xf numFmtId="165" fontId="9" fillId="0" borderId="0" xfId="3" applyNumberFormat="1"/>
    <xf numFmtId="9" fontId="9" fillId="0" borderId="0" xfId="3" applyNumberFormat="1"/>
    <xf numFmtId="165" fontId="9" fillId="0" borderId="0" xfId="5" applyNumberFormat="1" applyFont="1" applyFill="1" applyBorder="1"/>
    <xf numFmtId="164" fontId="9" fillId="0" borderId="0" xfId="4" applyNumberFormat="1" applyFont="1" applyFill="1" applyBorder="1"/>
    <xf numFmtId="9" fontId="9" fillId="0" borderId="0" xfId="5" applyFont="1" applyFill="1" applyBorder="1"/>
    <xf numFmtId="164" fontId="0" fillId="0" borderId="0" xfId="2" applyNumberFormat="1" applyFont="1"/>
    <xf numFmtId="0" fontId="0" fillId="3" borderId="0" xfId="0" applyFill="1"/>
    <xf numFmtId="164" fontId="0" fillId="0" borderId="0" xfId="0" applyNumberFormat="1"/>
    <xf numFmtId="0" fontId="0" fillId="0" borderId="0" xfId="0" applyAlignment="1">
      <alignment horizontal="right"/>
    </xf>
    <xf numFmtId="0" fontId="0" fillId="2" borderId="0" xfId="0" applyFill="1"/>
    <xf numFmtId="165" fontId="0" fillId="0" borderId="0" xfId="0" applyNumberFormat="1"/>
    <xf numFmtId="0" fontId="19" fillId="0" borderId="0" xfId="0" applyFont="1"/>
    <xf numFmtId="164" fontId="3" fillId="0" borderId="0" xfId="0" applyNumberFormat="1" applyFont="1"/>
    <xf numFmtId="43" fontId="0" fillId="0" borderId="0" xfId="0" applyNumberFormat="1"/>
    <xf numFmtId="10" fontId="0" fillId="0" borderId="0" xfId="1" applyNumberFormat="1" applyFont="1"/>
    <xf numFmtId="0" fontId="21" fillId="7" borderId="2" xfId="0" applyFont="1" applyFill="1" applyBorder="1" applyAlignment="1">
      <alignment horizontal="center" wrapText="1"/>
    </xf>
    <xf numFmtId="0" fontId="21" fillId="7" borderId="12" xfId="0" applyFont="1" applyFill="1" applyBorder="1" applyAlignment="1">
      <alignment horizontal="center" wrapText="1"/>
    </xf>
    <xf numFmtId="0" fontId="3" fillId="0" borderId="1" xfId="0" applyFont="1" applyBorder="1"/>
    <xf numFmtId="0" fontId="3" fillId="0" borderId="1" xfId="0" applyFont="1" applyBorder="1" applyAlignment="1">
      <alignment horizontal="center" vertical="center" wrapText="1"/>
    </xf>
    <xf numFmtId="0" fontId="22" fillId="0" borderId="0" xfId="0" applyFont="1"/>
    <xf numFmtId="0" fontId="22" fillId="0" borderId="0" xfId="0" applyFont="1" applyAlignment="1">
      <alignment vertical="center"/>
    </xf>
    <xf numFmtId="167" fontId="0" fillId="3" borderId="0" xfId="0" applyNumberFormat="1" applyFill="1"/>
    <xf numFmtId="0" fontId="8" fillId="0" borderId="0" xfId="0" applyFont="1"/>
    <xf numFmtId="0" fontId="7" fillId="8" borderId="0" xfId="0" applyFont="1" applyFill="1"/>
    <xf numFmtId="0" fontId="0" fillId="8" borderId="0" xfId="0" applyFill="1"/>
    <xf numFmtId="0" fontId="3" fillId="0" borderId="1" xfId="0" applyFont="1" applyBorder="1" applyAlignment="1">
      <alignment horizontal="left"/>
    </xf>
    <xf numFmtId="0" fontId="3" fillId="3" borderId="1" xfId="0" applyFont="1" applyFill="1" applyBorder="1" applyAlignment="1">
      <alignment horizontal="center" vertical="center" wrapText="1"/>
    </xf>
    <xf numFmtId="0" fontId="23" fillId="0" borderId="0" xfId="0" applyFont="1"/>
    <xf numFmtId="0" fontId="24" fillId="0" borderId="0" xfId="0" applyFont="1"/>
    <xf numFmtId="0" fontId="23" fillId="0" borderId="0" xfId="0" applyFont="1" applyAlignment="1">
      <alignment horizontal="right"/>
    </xf>
    <xf numFmtId="0" fontId="0" fillId="0" borderId="0" xfId="0" applyAlignment="1">
      <alignment horizontal="left"/>
    </xf>
    <xf numFmtId="10" fontId="0" fillId="0" borderId="0" xfId="1" applyNumberFormat="1" applyFont="1" applyFill="1" applyBorder="1"/>
    <xf numFmtId="0" fontId="0" fillId="9" borderId="0" xfId="0" applyFill="1"/>
    <xf numFmtId="164" fontId="0" fillId="9" borderId="0" xfId="2" applyNumberFormat="1" applyFont="1" applyFill="1"/>
    <xf numFmtId="3" fontId="0" fillId="9" borderId="0" xfId="0" applyNumberFormat="1" applyFill="1"/>
    <xf numFmtId="164" fontId="0" fillId="9" borderId="0" xfId="0" applyNumberFormat="1" applyFill="1"/>
    <xf numFmtId="10" fontId="0" fillId="9" borderId="0" xfId="1" applyNumberFormat="1" applyFont="1" applyFill="1" applyBorder="1"/>
    <xf numFmtId="167" fontId="0" fillId="9" borderId="0" xfId="0" applyNumberFormat="1" applyFill="1"/>
    <xf numFmtId="165" fontId="0" fillId="0" borderId="0" xfId="1" applyNumberFormat="1" applyFont="1"/>
    <xf numFmtId="10" fontId="0" fillId="0" borderId="0" xfId="1" applyNumberFormat="1" applyFont="1" applyBorder="1"/>
    <xf numFmtId="167" fontId="0" fillId="0" borderId="0" xfId="0" applyNumberFormat="1"/>
    <xf numFmtId="10" fontId="0" fillId="9" borderId="0" xfId="1" applyNumberFormat="1" applyFont="1" applyFill="1"/>
    <xf numFmtId="10" fontId="3" fillId="0" borderId="0" xfId="1" applyNumberFormat="1" applyFont="1"/>
    <xf numFmtId="9" fontId="3" fillId="3" borderId="0" xfId="1" applyFont="1" applyFill="1"/>
    <xf numFmtId="43" fontId="3" fillId="0" borderId="0" xfId="2" applyFont="1"/>
    <xf numFmtId="0" fontId="3" fillId="3" borderId="0" xfId="0" applyFont="1" applyFill="1" applyAlignment="1">
      <alignment horizontal="left"/>
    </xf>
    <xf numFmtId="0" fontId="25" fillId="0" borderId="0" xfId="0" applyFont="1"/>
    <xf numFmtId="3" fontId="0" fillId="0" borderId="0" xfId="0" applyNumberFormat="1" applyFill="1"/>
    <xf numFmtId="0" fontId="0" fillId="0" borderId="0" xfId="0" applyFill="1"/>
    <xf numFmtId="0" fontId="3" fillId="0" borderId="0" xfId="0" applyFont="1" applyAlignment="1">
      <alignment horizontal="center" vertical="center"/>
    </xf>
    <xf numFmtId="0" fontId="29" fillId="0" borderId="0" xfId="0" applyFont="1"/>
    <xf numFmtId="0" fontId="29" fillId="0" borderId="0" xfId="0" applyFont="1" applyAlignment="1">
      <alignment horizontal="right"/>
    </xf>
    <xf numFmtId="164" fontId="0" fillId="0" borderId="0" xfId="0" applyNumberFormat="1" applyFill="1"/>
    <xf numFmtId="4" fontId="0" fillId="0" borderId="0" xfId="0" applyNumberFormat="1"/>
    <xf numFmtId="0" fontId="0" fillId="0" borderId="0" xfId="0" applyFont="1"/>
    <xf numFmtId="4" fontId="0" fillId="0" borderId="0" xfId="0" applyNumberFormat="1" applyFont="1"/>
    <xf numFmtId="3" fontId="0" fillId="0" borderId="0" xfId="0" applyNumberFormat="1" applyFont="1"/>
    <xf numFmtId="2" fontId="3" fillId="0" borderId="0" xfId="0" applyNumberFormat="1" applyFont="1"/>
    <xf numFmtId="0" fontId="0" fillId="11" borderId="0" xfId="0" applyFill="1"/>
    <xf numFmtId="0" fontId="0" fillId="0" borderId="0" xfId="0" applyBorder="1"/>
    <xf numFmtId="0" fontId="18" fillId="0" borderId="0" xfId="6" applyFill="1" applyBorder="1" applyAlignment="1">
      <alignment horizontal="left" vertical="center"/>
    </xf>
    <xf numFmtId="0" fontId="36" fillId="0" borderId="0" xfId="0" applyFont="1"/>
    <xf numFmtId="0" fontId="18" fillId="0" borderId="0" xfId="6"/>
    <xf numFmtId="0" fontId="37" fillId="0" borderId="0" xfId="0" applyFont="1"/>
    <xf numFmtId="0" fontId="38" fillId="0" borderId="0" xfId="0" applyFont="1"/>
    <xf numFmtId="0" fontId="39" fillId="0" borderId="0" xfId="0" applyFont="1"/>
    <xf numFmtId="0" fontId="40" fillId="0" borderId="0" xfId="0" applyFont="1"/>
    <xf numFmtId="0" fontId="41" fillId="0" borderId="0" xfId="0" applyFont="1"/>
    <xf numFmtId="0" fontId="3" fillId="0" borderId="0" xfId="0" applyFont="1" applyFill="1"/>
    <xf numFmtId="3" fontId="0" fillId="0" borderId="0" xfId="0" applyNumberFormat="1" applyBorder="1"/>
    <xf numFmtId="0" fontId="3" fillId="0" borderId="0" xfId="0" applyFont="1" applyBorder="1" applyAlignment="1">
      <alignment horizontal="center"/>
    </xf>
    <xf numFmtId="0" fontId="3" fillId="0" borderId="0" xfId="0" applyFont="1" applyAlignment="1">
      <alignment wrapText="1"/>
    </xf>
    <xf numFmtId="0" fontId="3" fillId="0" borderId="0" xfId="0" applyFont="1" applyBorder="1"/>
    <xf numFmtId="0" fontId="43" fillId="0" borderId="0" xfId="0" applyFont="1"/>
    <xf numFmtId="0" fontId="0" fillId="0" borderId="5" xfId="0" applyBorder="1"/>
    <xf numFmtId="0" fontId="0" fillId="0" borderId="10" xfId="0" applyBorder="1"/>
    <xf numFmtId="0" fontId="0" fillId="0" borderId="0" xfId="0" applyAlignment="1">
      <alignment horizontal="left" vertical="top" wrapText="1"/>
    </xf>
    <xf numFmtId="0" fontId="18" fillId="0" borderId="0" xfId="6" applyAlignment="1">
      <alignment vertical="center"/>
    </xf>
    <xf numFmtId="37" fontId="19" fillId="5" borderId="0" xfId="2" applyNumberFormat="1" applyFont="1" applyFill="1" applyAlignment="1">
      <alignment horizontal="center" vertical="center"/>
    </xf>
    <xf numFmtId="37" fontId="19" fillId="22" borderId="0" xfId="0" applyNumberFormat="1" applyFont="1" applyFill="1" applyAlignment="1">
      <alignment horizontal="center" vertical="center"/>
    </xf>
    <xf numFmtId="3" fontId="3" fillId="3" borderId="0" xfId="0" applyNumberFormat="1" applyFont="1" applyFill="1"/>
    <xf numFmtId="4" fontId="0" fillId="3" borderId="0" xfId="0" applyNumberFormat="1" applyFont="1" applyFill="1"/>
    <xf numFmtId="0" fontId="3" fillId="0" borderId="0" xfId="0" applyFont="1" applyAlignment="1">
      <alignment horizontal="center" vertical="center" wrapText="1"/>
    </xf>
    <xf numFmtId="0" fontId="0" fillId="0" borderId="0" xfId="0" applyAlignment="1">
      <alignment horizontal="left" vertical="top" wrapText="1"/>
    </xf>
    <xf numFmtId="0" fontId="3" fillId="0" borderId="0" xfId="0" applyFont="1" applyAlignment="1">
      <alignment horizontal="center" vertical="center"/>
    </xf>
    <xf numFmtId="0" fontId="0" fillId="0" borderId="6" xfId="0" applyBorder="1"/>
    <xf numFmtId="0" fontId="0" fillId="0" borderId="7" xfId="0" applyBorder="1"/>
    <xf numFmtId="0" fontId="0" fillId="0" borderId="8" xfId="0" applyBorder="1"/>
    <xf numFmtId="0" fontId="0" fillId="0" borderId="9" xfId="0" applyBorder="1"/>
    <xf numFmtId="3" fontId="0" fillId="0" borderId="1" xfId="0" applyNumberFormat="1" applyBorder="1"/>
    <xf numFmtId="0" fontId="0" fillId="0" borderId="1" xfId="0" applyBorder="1"/>
    <xf numFmtId="0" fontId="0" fillId="0" borderId="11" xfId="0" applyBorder="1"/>
    <xf numFmtId="3" fontId="0" fillId="0" borderId="11" xfId="0" applyNumberFormat="1" applyBorder="1"/>
    <xf numFmtId="170" fontId="0" fillId="0" borderId="0" xfId="0" applyNumberFormat="1"/>
    <xf numFmtId="170" fontId="19" fillId="0" borderId="0" xfId="0" applyNumberFormat="1" applyFont="1"/>
    <xf numFmtId="170" fontId="3" fillId="0" borderId="0" xfId="0" applyNumberFormat="1" applyFont="1"/>
    <xf numFmtId="0" fontId="3" fillId="10" borderId="14" xfId="0" applyFont="1" applyFill="1" applyBorder="1" applyAlignment="1">
      <alignment horizontal="center" vertical="center" wrapText="1"/>
    </xf>
    <xf numFmtId="0" fontId="3" fillId="10" borderId="4" xfId="0" applyFont="1" applyFill="1" applyBorder="1" applyAlignment="1">
      <alignment horizontal="center" vertical="center" wrapText="1"/>
    </xf>
    <xf numFmtId="9" fontId="3" fillId="10" borderId="3" xfId="1" applyFont="1" applyFill="1" applyBorder="1" applyAlignment="1">
      <alignment horizontal="center" vertical="center" wrapText="1"/>
    </xf>
    <xf numFmtId="0" fontId="0" fillId="0" borderId="0" xfId="0" applyAlignment="1">
      <alignment horizontal="center"/>
    </xf>
    <xf numFmtId="3" fontId="19" fillId="0" borderId="0" xfId="0" applyNumberFormat="1" applyFont="1"/>
    <xf numFmtId="0" fontId="0" fillId="0" borderId="6" xfId="0" applyFont="1" applyFill="1" applyBorder="1"/>
    <xf numFmtId="0" fontId="0" fillId="0" borderId="5" xfId="0" applyFont="1" applyFill="1" applyBorder="1"/>
    <xf numFmtId="3" fontId="0" fillId="0" borderId="0" xfId="0" applyNumberFormat="1" applyFont="1" applyFill="1" applyBorder="1"/>
    <xf numFmtId="0" fontId="0" fillId="0" borderId="9" xfId="0" applyFont="1" applyFill="1" applyBorder="1"/>
    <xf numFmtId="3" fontId="0" fillId="3" borderId="7" xfId="0" applyNumberFormat="1" applyFill="1" applyBorder="1"/>
    <xf numFmtId="3" fontId="0" fillId="3" borderId="8" xfId="0" applyNumberFormat="1" applyFill="1" applyBorder="1"/>
    <xf numFmtId="3" fontId="0" fillId="3" borderId="0" xfId="0" applyNumberFormat="1" applyFill="1" applyBorder="1"/>
    <xf numFmtId="3" fontId="0" fillId="3" borderId="10" xfId="0" applyNumberFormat="1" applyFill="1" applyBorder="1"/>
    <xf numFmtId="3" fontId="0" fillId="3" borderId="7" xfId="0" applyNumberFormat="1" applyFont="1" applyFill="1" applyBorder="1"/>
    <xf numFmtId="3" fontId="0" fillId="3" borderId="8" xfId="0" applyNumberFormat="1" applyFont="1" applyFill="1" applyBorder="1"/>
    <xf numFmtId="3" fontId="0" fillId="3" borderId="0" xfId="0" applyNumberFormat="1" applyFont="1" applyFill="1" applyBorder="1"/>
    <xf numFmtId="3" fontId="0" fillId="3" borderId="10" xfId="0" applyNumberFormat="1" applyFont="1" applyFill="1" applyBorder="1"/>
    <xf numFmtId="3" fontId="0" fillId="3" borderId="1" xfId="0" applyNumberFormat="1" applyFont="1" applyFill="1" applyBorder="1"/>
    <xf numFmtId="3" fontId="0" fillId="3" borderId="11" xfId="0" applyNumberFormat="1" applyFont="1" applyFill="1" applyBorder="1"/>
    <xf numFmtId="3" fontId="3" fillId="23" borderId="0" xfId="0" applyNumberFormat="1" applyFont="1" applyFill="1"/>
    <xf numFmtId="4" fontId="3" fillId="0" borderId="0" xfId="0" applyNumberFormat="1" applyFont="1"/>
    <xf numFmtId="169" fontId="0" fillId="0" borderId="0" xfId="0" applyNumberFormat="1"/>
    <xf numFmtId="0" fontId="46" fillId="0" borderId="0" xfId="0" applyFont="1"/>
    <xf numFmtId="166" fontId="0" fillId="0" borderId="0" xfId="0" applyNumberFormat="1"/>
    <xf numFmtId="3" fontId="0" fillId="11" borderId="0" xfId="0" applyNumberFormat="1" applyFill="1"/>
    <xf numFmtId="0" fontId="49" fillId="12" borderId="0" xfId="0" applyFont="1" applyFill="1"/>
    <xf numFmtId="0" fontId="50" fillId="12" borderId="0" xfId="0" applyFont="1" applyFill="1"/>
    <xf numFmtId="165" fontId="2" fillId="0" borderId="0" xfId="1" applyNumberFormat="1" applyFont="1" applyAlignment="1">
      <alignment horizontal="right"/>
    </xf>
    <xf numFmtId="0" fontId="0" fillId="0" borderId="0" xfId="0" applyFont="1" applyFill="1"/>
    <xf numFmtId="3" fontId="0" fillId="0" borderId="0" xfId="0" applyNumberFormat="1" applyFont="1" applyFill="1"/>
    <xf numFmtId="4" fontId="0" fillId="0" borderId="0" xfId="0" applyNumberFormat="1" applyFont="1" applyFill="1"/>
    <xf numFmtId="0" fontId="3" fillId="23" borderId="0" xfId="0" applyFont="1" applyFill="1"/>
    <xf numFmtId="0" fontId="52" fillId="0" borderId="0" xfId="0" applyFont="1" applyAlignment="1">
      <alignment vertical="center"/>
    </xf>
    <xf numFmtId="0" fontId="53" fillId="0" borderId="0" xfId="0" applyFont="1" applyAlignment="1">
      <alignment vertical="center"/>
    </xf>
    <xf numFmtId="0" fontId="54" fillId="0" borderId="0" xfId="0" applyFont="1"/>
    <xf numFmtId="0" fontId="55" fillId="0" borderId="0" xfId="0" applyFont="1"/>
    <xf numFmtId="0" fontId="56" fillId="0" borderId="0" xfId="0" applyFont="1"/>
    <xf numFmtId="0" fontId="56" fillId="0" borderId="0" xfId="0" applyFont="1" applyAlignment="1">
      <alignment horizontal="right" vertical="center"/>
    </xf>
    <xf numFmtId="0" fontId="57" fillId="0" borderId="0" xfId="0" applyFont="1" applyAlignment="1">
      <alignment wrapText="1"/>
    </xf>
    <xf numFmtId="0" fontId="58" fillId="0" borderId="0" xfId="0" applyFont="1" applyAlignment="1">
      <alignment horizontal="right"/>
    </xf>
    <xf numFmtId="0" fontId="58" fillId="0" borderId="0" xfId="0" applyFont="1"/>
    <xf numFmtId="0" fontId="56" fillId="0" borderId="0" xfId="0" applyFont="1" applyAlignment="1">
      <alignment vertical="center"/>
    </xf>
    <xf numFmtId="0" fontId="59" fillId="0" borderId="0" xfId="6" applyFont="1"/>
    <xf numFmtId="0" fontId="60" fillId="13" borderId="0" xfId="0" applyFont="1" applyFill="1" applyAlignment="1">
      <alignment horizontal="center" vertical="center"/>
    </xf>
    <xf numFmtId="0" fontId="58" fillId="0" borderId="0" xfId="0" applyFont="1" applyAlignment="1">
      <alignment vertical="center"/>
    </xf>
    <xf numFmtId="0" fontId="61" fillId="0" borderId="0" xfId="0" applyFont="1" applyAlignment="1">
      <alignment vertical="top"/>
    </xf>
    <xf numFmtId="0" fontId="58" fillId="0" borderId="0" xfId="0" applyFont="1" applyAlignment="1">
      <alignment vertical="top" wrapText="1"/>
    </xf>
    <xf numFmtId="0" fontId="62" fillId="0" borderId="0" xfId="6" applyFont="1" applyAlignment="1" applyProtection="1">
      <alignment vertical="center"/>
    </xf>
    <xf numFmtId="0" fontId="0" fillId="0" borderId="0" xfId="0" applyFill="1" applyBorder="1"/>
    <xf numFmtId="0" fontId="3" fillId="10" borderId="6" xfId="0" applyFont="1" applyFill="1" applyBorder="1" applyAlignment="1">
      <alignment horizontal="center" vertical="center" wrapText="1"/>
    </xf>
    <xf numFmtId="9" fontId="3" fillId="0" borderId="0" xfId="1" applyFont="1" applyFill="1" applyBorder="1" applyAlignment="1">
      <alignment horizontal="center" vertical="center" wrapText="1"/>
    </xf>
    <xf numFmtId="3" fontId="0" fillId="0" borderId="0" xfId="0" applyNumberFormat="1" applyFill="1" applyBorder="1"/>
    <xf numFmtId="0" fontId="0" fillId="0" borderId="5" xfId="0" applyFont="1" applyBorder="1"/>
    <xf numFmtId="3" fontId="0" fillId="0" borderId="5" xfId="0" applyNumberFormat="1" applyFont="1" applyBorder="1"/>
    <xf numFmtId="3" fontId="0" fillId="0" borderId="10" xfId="0" applyNumberFormat="1" applyFont="1" applyBorder="1"/>
    <xf numFmtId="3" fontId="0" fillId="0" borderId="10" xfId="0" applyNumberFormat="1" applyFont="1" applyFill="1" applyBorder="1"/>
    <xf numFmtId="0" fontId="0" fillId="0" borderId="0" xfId="0" applyAlignment="1">
      <alignment horizontal="center"/>
    </xf>
    <xf numFmtId="0" fontId="0" fillId="0" borderId="0" xfId="0" applyAlignment="1">
      <alignment horizontal="center"/>
    </xf>
    <xf numFmtId="0" fontId="0" fillId="0" borderId="0" xfId="1" applyNumberFormat="1" applyFont="1"/>
    <xf numFmtId="0" fontId="25" fillId="0" borderId="0" xfId="0" applyFont="1" applyFill="1" applyBorder="1"/>
    <xf numFmtId="3" fontId="19" fillId="0" borderId="0" xfId="0" applyNumberFormat="1" applyFont="1" applyFill="1" applyBorder="1"/>
    <xf numFmtId="0" fontId="19" fillId="0" borderId="0" xfId="0" applyFont="1" applyFill="1" applyBorder="1"/>
    <xf numFmtId="0" fontId="25" fillId="0" borderId="0" xfId="0" applyFont="1" applyFill="1" applyBorder="1" applyAlignment="1">
      <alignment horizontal="center" vertical="center" wrapText="1"/>
    </xf>
    <xf numFmtId="3" fontId="25" fillId="0" borderId="0" xfId="0" applyNumberFormat="1" applyFont="1" applyFill="1" applyBorder="1" applyAlignment="1">
      <alignment horizontal="center" vertical="center" wrapText="1"/>
    </xf>
    <xf numFmtId="3" fontId="25" fillId="0" borderId="0" xfId="0" applyNumberFormat="1" applyFont="1" applyFill="1" applyBorder="1"/>
    <xf numFmtId="168" fontId="25" fillId="0" borderId="0" xfId="0" applyNumberFormat="1" applyFont="1" applyFill="1" applyBorder="1"/>
    <xf numFmtId="168" fontId="19" fillId="0" borderId="0" xfId="0" applyNumberFormat="1" applyFont="1" applyFill="1" applyBorder="1"/>
    <xf numFmtId="164" fontId="25" fillId="0" borderId="0" xfId="0" applyNumberFormat="1" applyFont="1" applyFill="1" applyBorder="1" applyAlignment="1">
      <alignment horizontal="center"/>
    </xf>
    <xf numFmtId="165" fontId="25" fillId="0" borderId="0" xfId="0" applyNumberFormat="1" applyFont="1" applyFill="1" applyBorder="1" applyAlignment="1">
      <alignment horizontal="center"/>
    </xf>
    <xf numFmtId="0" fontId="25" fillId="0" borderId="0" xfId="0" applyFont="1" applyFill="1" applyBorder="1" applyAlignment="1">
      <alignment horizontal="left"/>
    </xf>
    <xf numFmtId="164" fontId="25" fillId="0" borderId="0" xfId="0" applyNumberFormat="1" applyFont="1" applyFill="1" applyBorder="1"/>
    <xf numFmtId="0" fontId="19" fillId="0" borderId="0" xfId="0" applyFont="1" applyFill="1" applyBorder="1" applyAlignment="1">
      <alignment horizontal="left"/>
    </xf>
    <xf numFmtId="164" fontId="19" fillId="0" borderId="0" xfId="0" applyNumberFormat="1" applyFont="1" applyFill="1" applyBorder="1"/>
    <xf numFmtId="165" fontId="19" fillId="0" borderId="0" xfId="0" applyNumberFormat="1" applyFont="1" applyFill="1" applyBorder="1" applyAlignment="1">
      <alignment horizontal="center"/>
    </xf>
    <xf numFmtId="43" fontId="19" fillId="0" borderId="0" xfId="0" applyNumberFormat="1" applyFont="1" applyFill="1" applyBorder="1"/>
    <xf numFmtId="3" fontId="45" fillId="0" borderId="0" xfId="0" applyNumberFormat="1" applyFont="1" applyFill="1" applyBorder="1"/>
    <xf numFmtId="9" fontId="19" fillId="0" borderId="0" xfId="0" applyNumberFormat="1" applyFont="1" applyFill="1" applyBorder="1"/>
    <xf numFmtId="0" fontId="3" fillId="0" borderId="0" xfId="0" applyFont="1" applyFill="1" applyBorder="1"/>
    <xf numFmtId="9" fontId="25" fillId="0" borderId="0" xfId="0" applyNumberFormat="1" applyFont="1" applyFill="1" applyBorder="1"/>
    <xf numFmtId="43" fontId="0" fillId="0" borderId="0" xfId="0" applyNumberFormat="1" applyFill="1" applyBorder="1"/>
    <xf numFmtId="0" fontId="0" fillId="0" borderId="9" xfId="0" applyFill="1" applyBorder="1"/>
    <xf numFmtId="0" fontId="0" fillId="0" borderId="0" xfId="0" applyFont="1" applyFill="1" applyBorder="1"/>
    <xf numFmtId="3" fontId="3" fillId="0" borderId="0" xfId="0" applyNumberFormat="1" applyFont="1" applyFill="1" applyBorder="1"/>
    <xf numFmtId="0" fontId="0" fillId="0" borderId="9" xfId="0" applyFont="1" applyBorder="1"/>
    <xf numFmtId="3" fontId="0" fillId="0" borderId="9" xfId="0" applyNumberFormat="1" applyFont="1" applyBorder="1"/>
    <xf numFmtId="3" fontId="0" fillId="0" borderId="11" xfId="0" applyNumberFormat="1" applyFont="1" applyBorder="1"/>
    <xf numFmtId="0" fontId="3" fillId="10" borderId="14" xfId="0" applyFont="1" applyFill="1" applyBorder="1" applyAlignment="1">
      <alignment horizontal="center" vertical="center"/>
    </xf>
    <xf numFmtId="0" fontId="3" fillId="10" borderId="4" xfId="0" applyFont="1" applyFill="1" applyBorder="1" applyAlignment="1">
      <alignment horizontal="center" vertical="center"/>
    </xf>
    <xf numFmtId="0" fontId="3" fillId="10" borderId="3" xfId="0" applyFont="1" applyFill="1" applyBorder="1" applyAlignment="1">
      <alignment horizontal="center" vertical="center"/>
    </xf>
    <xf numFmtId="0" fontId="3" fillId="0" borderId="5" xfId="0" applyFont="1" applyFill="1" applyBorder="1"/>
    <xf numFmtId="164" fontId="0" fillId="0" borderId="0" xfId="0" applyNumberFormat="1" applyBorder="1" applyAlignment="1">
      <alignment horizontal="right"/>
    </xf>
    <xf numFmtId="3" fontId="0" fillId="0" borderId="0" xfId="0" applyNumberFormat="1" applyBorder="1" applyAlignment="1">
      <alignment horizontal="right"/>
    </xf>
    <xf numFmtId="43" fontId="0" fillId="0" borderId="0" xfId="0" applyNumberFormat="1" applyBorder="1" applyAlignment="1">
      <alignment horizontal="right"/>
    </xf>
    <xf numFmtId="3" fontId="0" fillId="0" borderId="1" xfId="0" applyNumberFormat="1" applyBorder="1" applyAlignment="1">
      <alignment horizontal="right"/>
    </xf>
    <xf numFmtId="0" fontId="3" fillId="0" borderId="0" xfId="0" applyFont="1" applyAlignment="1">
      <alignment horizontal="center" vertical="center" wrapText="1"/>
    </xf>
    <xf numFmtId="0" fontId="49" fillId="13" borderId="0" xfId="0" applyFont="1" applyFill="1"/>
    <xf numFmtId="0" fontId="50" fillId="13" borderId="0" xfId="0" applyFont="1" applyFill="1"/>
    <xf numFmtId="0" fontId="29" fillId="0" borderId="0" xfId="0" applyFont="1" applyBorder="1" applyAlignment="1" applyProtection="1">
      <alignment horizontal="right" vertical="center" wrapText="1"/>
    </xf>
    <xf numFmtId="0" fontId="35" fillId="0" borderId="0" xfId="0" applyFont="1" applyBorder="1" applyAlignment="1" applyProtection="1">
      <alignment horizontal="right" vertical="center" wrapText="1"/>
    </xf>
    <xf numFmtId="0" fontId="63" fillId="0" borderId="0" xfId="0" applyFont="1" applyAlignment="1" applyProtection="1">
      <alignment vertical="center"/>
    </xf>
    <xf numFmtId="0" fontId="63" fillId="0" borderId="0" xfId="0" applyFont="1" applyAlignment="1" applyProtection="1">
      <alignment horizontal="left" vertical="center"/>
    </xf>
    <xf numFmtId="0" fontId="30" fillId="0" borderId="0" xfId="0" applyFont="1" applyAlignment="1" applyProtection="1">
      <alignment horizontal="center" vertical="center"/>
    </xf>
    <xf numFmtId="0" fontId="30" fillId="0" borderId="0" xfId="0" applyFont="1" applyAlignment="1" applyProtection="1">
      <alignment vertical="center"/>
    </xf>
    <xf numFmtId="0" fontId="33" fillId="0" borderId="0" xfId="0" applyFont="1" applyAlignment="1" applyProtection="1">
      <alignment horizontal="center" vertical="center"/>
    </xf>
    <xf numFmtId="0" fontId="63" fillId="0" borderId="0" xfId="0" applyFont="1" applyAlignment="1" applyProtection="1">
      <alignment horizontal="center" vertical="center"/>
    </xf>
    <xf numFmtId="0" fontId="30" fillId="0" borderId="0" xfId="0" applyFont="1" applyFill="1" applyAlignment="1" applyProtection="1">
      <alignment vertical="center"/>
    </xf>
    <xf numFmtId="0" fontId="30" fillId="0" borderId="0" xfId="0" applyFont="1" applyFill="1" applyAlignment="1" applyProtection="1">
      <alignment horizontal="right" vertical="center"/>
    </xf>
    <xf numFmtId="0" fontId="79" fillId="0" borderId="0" xfId="0" applyFont="1" applyFill="1" applyAlignment="1" applyProtection="1">
      <alignment vertical="center"/>
    </xf>
    <xf numFmtId="0" fontId="79" fillId="0" borderId="0" xfId="0" applyFont="1" applyFill="1" applyAlignment="1" applyProtection="1">
      <alignment horizontal="right" vertical="center"/>
    </xf>
    <xf numFmtId="0" fontId="79" fillId="0" borderId="15" xfId="0" applyFont="1" applyFill="1" applyBorder="1" applyAlignment="1" applyProtection="1">
      <alignment vertical="center"/>
    </xf>
    <xf numFmtId="0" fontId="79" fillId="0" borderId="0" xfId="0" applyFont="1" applyFill="1" applyAlignment="1" applyProtection="1">
      <alignment horizontal="center" vertical="center" wrapText="1"/>
    </xf>
    <xf numFmtId="0" fontId="30" fillId="0" borderId="0" xfId="0" applyFont="1" applyAlignment="1" applyProtection="1">
      <alignment horizontal="center" vertical="center" wrapText="1"/>
    </xf>
    <xf numFmtId="0" fontId="29" fillId="0" borderId="0" xfId="0" applyFont="1" applyAlignment="1" applyProtection="1">
      <alignment vertical="center"/>
    </xf>
    <xf numFmtId="0" fontId="34" fillId="8" borderId="0" xfId="0" applyFont="1" applyFill="1" applyAlignment="1" applyProtection="1">
      <alignment horizontal="center" vertical="center"/>
    </xf>
    <xf numFmtId="0" fontId="34" fillId="8" borderId="0" xfId="0" applyFont="1" applyFill="1" applyBorder="1" applyAlignment="1" applyProtection="1">
      <alignment horizontal="center" vertical="center" wrapText="1"/>
    </xf>
    <xf numFmtId="0" fontId="31" fillId="8" borderId="0" xfId="0" applyFont="1" applyFill="1" applyBorder="1" applyAlignment="1" applyProtection="1">
      <alignment horizontal="center" vertical="center" wrapText="1"/>
    </xf>
    <xf numFmtId="0" fontId="31" fillId="8" borderId="0" xfId="0" applyFont="1" applyFill="1" applyAlignment="1" applyProtection="1">
      <alignment horizontal="center" vertical="center" wrapText="1"/>
    </xf>
    <xf numFmtId="0" fontId="34" fillId="8" borderId="0" xfId="0" applyFont="1" applyFill="1" applyAlignment="1" applyProtection="1">
      <alignment horizontal="center" vertical="center" wrapText="1"/>
    </xf>
    <xf numFmtId="0" fontId="30" fillId="0" borderId="0" xfId="0" applyFont="1" applyBorder="1" applyAlignment="1" applyProtection="1">
      <alignment vertical="center"/>
    </xf>
    <xf numFmtId="0" fontId="30" fillId="6" borderId="0" xfId="0" applyFont="1" applyFill="1" applyAlignment="1" applyProtection="1">
      <alignment horizontal="center" vertical="center"/>
    </xf>
    <xf numFmtId="0" fontId="33" fillId="0" borderId="0" xfId="0" applyFont="1" applyFill="1" applyAlignment="1" applyProtection="1">
      <alignment horizontal="center" vertical="center"/>
    </xf>
    <xf numFmtId="9" fontId="33" fillId="5" borderId="0" xfId="0" applyNumberFormat="1" applyFont="1" applyFill="1" applyBorder="1" applyAlignment="1" applyProtection="1">
      <alignment horizontal="center" vertical="center"/>
    </xf>
    <xf numFmtId="9" fontId="34" fillId="0" borderId="0" xfId="1" applyFont="1" applyFill="1" applyBorder="1" applyAlignment="1" applyProtection="1">
      <alignment horizontal="center" vertical="center"/>
    </xf>
    <xf numFmtId="164" fontId="34" fillId="8" borderId="0" xfId="2" applyNumberFormat="1" applyFont="1" applyFill="1" applyBorder="1" applyAlignment="1" applyProtection="1">
      <alignment horizontal="center" vertical="center"/>
    </xf>
    <xf numFmtId="9" fontId="76" fillId="8" borderId="0" xfId="1" applyFont="1" applyFill="1" applyBorder="1" applyAlignment="1" applyProtection="1">
      <alignment horizontal="right" vertical="center"/>
    </xf>
    <xf numFmtId="9" fontId="34" fillId="0" borderId="0" xfId="1" applyFont="1" applyFill="1" applyBorder="1" applyAlignment="1" applyProtection="1">
      <alignment horizontal="right" vertical="center"/>
    </xf>
    <xf numFmtId="0" fontId="29"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29" fillId="0" borderId="0" xfId="0" applyFont="1" applyAlignment="1" applyProtection="1">
      <alignment horizontal="center" vertical="center"/>
    </xf>
    <xf numFmtId="0" fontId="35" fillId="0" borderId="0" xfId="0" applyFont="1" applyAlignment="1" applyProtection="1">
      <alignment horizontal="center" vertical="center"/>
    </xf>
    <xf numFmtId="0" fontId="63" fillId="0" borderId="0" xfId="0" applyFont="1" applyFill="1" applyAlignment="1" applyProtection="1">
      <alignment vertical="center"/>
    </xf>
    <xf numFmtId="0" fontId="42" fillId="0" borderId="0"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0" borderId="0" xfId="0" applyFont="1" applyFill="1" applyAlignment="1" applyProtection="1">
      <alignment horizontal="center" vertical="center"/>
    </xf>
    <xf numFmtId="0" fontId="29" fillId="0" borderId="0" xfId="0" applyFont="1" applyFill="1" applyAlignment="1" applyProtection="1">
      <alignment vertical="center"/>
    </xf>
    <xf numFmtId="0" fontId="29" fillId="0" borderId="0" xfId="0" applyFont="1" applyAlignment="1" applyProtection="1">
      <alignment horizontal="right" vertical="center"/>
    </xf>
    <xf numFmtId="3" fontId="29" fillId="0" borderId="0" xfId="0" applyNumberFormat="1" applyFont="1" applyFill="1" applyAlignment="1" applyProtection="1">
      <alignment vertical="center"/>
    </xf>
    <xf numFmtId="3" fontId="29" fillId="0" borderId="0" xfId="0" applyNumberFormat="1" applyFont="1" applyAlignment="1" applyProtection="1">
      <alignment vertical="center"/>
    </xf>
    <xf numFmtId="0" fontId="80" fillId="0" borderId="0" xfId="0" applyFont="1" applyFill="1" applyAlignment="1" applyProtection="1">
      <alignment vertical="center"/>
    </xf>
    <xf numFmtId="3" fontId="80" fillId="0" borderId="0" xfId="0" applyNumberFormat="1" applyFont="1" applyFill="1" applyAlignment="1" applyProtection="1">
      <alignment vertical="center"/>
    </xf>
    <xf numFmtId="3" fontId="79" fillId="0" borderId="12" xfId="0" applyNumberFormat="1" applyFont="1" applyFill="1" applyBorder="1" applyAlignment="1" applyProtection="1">
      <alignment vertical="center"/>
    </xf>
    <xf numFmtId="3" fontId="79" fillId="0" borderId="0" xfId="0" applyNumberFormat="1" applyFont="1" applyFill="1" applyAlignment="1" applyProtection="1">
      <alignment vertical="center"/>
    </xf>
    <xf numFmtId="0" fontId="3" fillId="0" borderId="5" xfId="0" applyFont="1" applyBorder="1"/>
    <xf numFmtId="3" fontId="3" fillId="0" borderId="0" xfId="0" applyNumberFormat="1" applyFont="1" applyBorder="1" applyAlignment="1">
      <alignment horizontal="right"/>
    </xf>
    <xf numFmtId="43" fontId="3" fillId="0" borderId="0" xfId="0" applyNumberFormat="1" applyFont="1" applyBorder="1" applyAlignment="1">
      <alignment horizontal="right"/>
    </xf>
    <xf numFmtId="0" fontId="3" fillId="0" borderId="10" xfId="0" applyFont="1" applyBorder="1"/>
    <xf numFmtId="9" fontId="3" fillId="0" borderId="0" xfId="1" applyFont="1" applyFill="1" applyBorder="1"/>
    <xf numFmtId="164" fontId="3" fillId="0" borderId="0" xfId="0" applyNumberFormat="1" applyFont="1" applyFill="1" applyBorder="1"/>
    <xf numFmtId="164" fontId="0" fillId="0" borderId="0" xfId="0" applyNumberFormat="1" applyFont="1" applyFill="1" applyBorder="1"/>
    <xf numFmtId="0" fontId="0" fillId="29" borderId="5" xfId="0" applyFill="1" applyBorder="1"/>
    <xf numFmtId="3" fontId="0" fillId="29" borderId="0" xfId="0" applyNumberFormat="1" applyFill="1" applyBorder="1" applyAlignment="1">
      <alignment horizontal="right"/>
    </xf>
    <xf numFmtId="0" fontId="0" fillId="29" borderId="10" xfId="0" applyFill="1" applyBorder="1"/>
    <xf numFmtId="164" fontId="0" fillId="29" borderId="0" xfId="0" applyNumberFormat="1" applyFill="1" applyBorder="1" applyAlignment="1">
      <alignment horizontal="right"/>
    </xf>
    <xf numFmtId="0" fontId="3" fillId="29" borderId="5" xfId="0" applyFont="1" applyFill="1" applyBorder="1"/>
    <xf numFmtId="3" fontId="3" fillId="29" borderId="0" xfId="0" applyNumberFormat="1" applyFont="1" applyFill="1" applyBorder="1" applyAlignment="1">
      <alignment horizontal="right"/>
    </xf>
    <xf numFmtId="43" fontId="0" fillId="29" borderId="0" xfId="0" applyNumberFormat="1" applyFill="1" applyBorder="1" applyAlignment="1">
      <alignment horizontal="right"/>
    </xf>
    <xf numFmtId="0" fontId="3" fillId="29" borderId="9" xfId="0" applyFont="1" applyFill="1" applyBorder="1"/>
    <xf numFmtId="3" fontId="3" fillId="29" borderId="1" xfId="0" applyNumberFormat="1" applyFont="1" applyFill="1" applyBorder="1" applyAlignment="1">
      <alignment horizontal="right"/>
    </xf>
    <xf numFmtId="0" fontId="3" fillId="29" borderId="11" xfId="0" applyFont="1" applyFill="1" applyBorder="1"/>
    <xf numFmtId="0" fontId="0" fillId="29" borderId="5" xfId="0" applyFont="1" applyFill="1" applyBorder="1"/>
    <xf numFmtId="9" fontId="3" fillId="29" borderId="0" xfId="1" applyFont="1" applyFill="1" applyBorder="1"/>
    <xf numFmtId="164" fontId="0" fillId="29" borderId="0" xfId="0" applyNumberFormat="1" applyFont="1" applyFill="1" applyBorder="1"/>
    <xf numFmtId="0" fontId="0" fillId="29" borderId="0" xfId="0" applyFill="1" applyBorder="1"/>
    <xf numFmtId="3" fontId="0" fillId="29" borderId="0" xfId="0" applyNumberFormat="1" applyFont="1" applyFill="1" applyBorder="1"/>
    <xf numFmtId="3" fontId="3" fillId="29" borderId="0" xfId="0" applyNumberFormat="1" applyFont="1" applyFill="1" applyBorder="1"/>
    <xf numFmtId="3" fontId="3" fillId="0" borderId="0" xfId="0" applyNumberFormat="1" applyFont="1" applyFill="1"/>
    <xf numFmtId="0" fontId="0" fillId="29" borderId="0" xfId="0" applyFont="1" applyFill="1" applyBorder="1"/>
    <xf numFmtId="0" fontId="0" fillId="29" borderId="10" xfId="0" applyFont="1" applyFill="1" applyBorder="1"/>
    <xf numFmtId="0" fontId="3" fillId="0" borderId="0" xfId="0" applyFont="1" applyAlignment="1">
      <alignment horizontal="center" vertical="center" wrapText="1"/>
    </xf>
    <xf numFmtId="0" fontId="29" fillId="0" borderId="5" xfId="0" applyFont="1" applyBorder="1" applyAlignment="1" applyProtection="1">
      <alignment vertical="center"/>
    </xf>
    <xf numFmtId="0" fontId="29" fillId="0" borderId="0" xfId="0" applyFont="1" applyBorder="1" applyAlignment="1" applyProtection="1">
      <alignment vertical="center"/>
    </xf>
    <xf numFmtId="0" fontId="30" fillId="0" borderId="10" xfId="0" applyFont="1" applyBorder="1" applyAlignment="1" applyProtection="1">
      <alignment vertical="center"/>
    </xf>
    <xf numFmtId="0" fontId="29" fillId="0" borderId="1" xfId="0" applyFont="1" applyBorder="1" applyAlignment="1" applyProtection="1">
      <alignment vertical="center"/>
    </xf>
    <xf numFmtId="0" fontId="29" fillId="0" borderId="11" xfId="0" applyFont="1" applyBorder="1" applyAlignment="1" applyProtection="1">
      <alignment vertical="center"/>
    </xf>
    <xf numFmtId="0" fontId="2" fillId="0" borderId="0" xfId="12"/>
    <xf numFmtId="0" fontId="3" fillId="0" borderId="0" xfId="12" applyFont="1"/>
    <xf numFmtId="0" fontId="20" fillId="0" borderId="0" xfId="12" applyFont="1"/>
    <xf numFmtId="172" fontId="20" fillId="0" borderId="0" xfId="12" applyNumberFormat="1" applyFont="1" applyAlignment="1">
      <alignment horizontal="center"/>
    </xf>
    <xf numFmtId="172" fontId="20" fillId="0" borderId="5" xfId="12" applyNumberFormat="1" applyFont="1" applyBorder="1" applyAlignment="1">
      <alignment horizontal="center"/>
    </xf>
    <xf numFmtId="0" fontId="89" fillId="28" borderId="3" xfId="12" applyFont="1" applyFill="1" applyBorder="1" applyAlignment="1">
      <alignment horizontal="center"/>
    </xf>
    <xf numFmtId="0" fontId="89" fillId="26" borderId="3" xfId="12" applyFont="1" applyFill="1" applyBorder="1" applyAlignment="1">
      <alignment horizontal="center"/>
    </xf>
    <xf numFmtId="0" fontId="89" fillId="27" borderId="2" xfId="12" applyFont="1" applyFill="1" applyBorder="1" applyAlignment="1">
      <alignment horizontal="center"/>
    </xf>
    <xf numFmtId="0" fontId="89" fillId="26" borderId="4" xfId="12" applyFont="1" applyFill="1" applyBorder="1" applyAlignment="1">
      <alignment horizontal="center"/>
    </xf>
    <xf numFmtId="0" fontId="89" fillId="26" borderId="2" xfId="12" applyFont="1" applyFill="1" applyBorder="1" applyAlignment="1">
      <alignment horizontal="center"/>
    </xf>
    <xf numFmtId="0" fontId="88" fillId="0" borderId="0" xfId="12" applyFont="1"/>
    <xf numFmtId="9" fontId="45" fillId="12" borderId="11" xfId="13" applyFont="1" applyFill="1" applyBorder="1"/>
    <xf numFmtId="9" fontId="45" fillId="12" borderId="1" xfId="13" applyFont="1" applyFill="1" applyBorder="1"/>
    <xf numFmtId="9" fontId="2" fillId="0" borderId="9" xfId="13" applyFont="1" applyBorder="1"/>
    <xf numFmtId="9" fontId="45" fillId="12" borderId="8" xfId="13" applyFont="1" applyFill="1" applyBorder="1"/>
    <xf numFmtId="9" fontId="45" fillId="12" borderId="7" xfId="13" applyFont="1" applyFill="1" applyBorder="1"/>
    <xf numFmtId="9" fontId="2" fillId="0" borderId="6" xfId="13" applyFont="1" applyBorder="1"/>
    <xf numFmtId="0" fontId="86" fillId="0" borderId="0" xfId="12" applyFont="1"/>
    <xf numFmtId="0" fontId="2" fillId="25" borderId="0" xfId="12" applyFill="1"/>
    <xf numFmtId="0" fontId="86" fillId="25" borderId="0" xfId="12" applyFont="1" applyFill="1"/>
    <xf numFmtId="0" fontId="85" fillId="25" borderId="0" xfId="12" applyFont="1" applyFill="1"/>
    <xf numFmtId="0" fontId="84" fillId="25" borderId="0" xfId="12" applyFont="1" applyFill="1"/>
    <xf numFmtId="0" fontId="83" fillId="25" borderId="0" xfId="12" applyFont="1" applyFill="1"/>
    <xf numFmtId="0" fontId="82" fillId="25" borderId="0" xfId="12" applyFont="1" applyFill="1"/>
    <xf numFmtId="0" fontId="8" fillId="25" borderId="0" xfId="12" applyFont="1" applyFill="1"/>
    <xf numFmtId="9" fontId="2" fillId="0" borderId="0" xfId="13" applyFont="1"/>
    <xf numFmtId="0" fontId="19" fillId="0" borderId="0" xfId="12" applyFont="1"/>
    <xf numFmtId="0" fontId="3" fillId="4" borderId="0" xfId="12" applyFont="1" applyFill="1" applyAlignment="1">
      <alignment horizontal="center" vertical="center" wrapText="1"/>
    </xf>
    <xf numFmtId="0" fontId="2" fillId="4" borderId="0" xfId="12" applyFill="1" applyAlignment="1">
      <alignment horizontal="right"/>
    </xf>
    <xf numFmtId="164" fontId="2" fillId="0" borderId="0" xfId="12" applyNumberFormat="1"/>
    <xf numFmtId="0" fontId="2" fillId="0" borderId="0" xfId="12" applyAlignment="1">
      <alignment horizontal="right"/>
    </xf>
    <xf numFmtId="164" fontId="2" fillId="0" borderId="0" xfId="14" applyNumberFormat="1" applyFont="1"/>
    <xf numFmtId="0" fontId="3" fillId="0" borderId="0" xfId="12" applyFont="1" applyAlignment="1">
      <alignment horizontal="center" vertical="center" wrapText="1"/>
    </xf>
    <xf numFmtId="0" fontId="2" fillId="0" borderId="0" xfId="12" applyAlignment="1">
      <alignment wrapText="1"/>
    </xf>
    <xf numFmtId="0" fontId="76" fillId="8" borderId="0" xfId="0" applyFont="1" applyFill="1" applyAlignment="1" applyProtection="1">
      <alignment horizontal="center" vertical="center"/>
    </xf>
    <xf numFmtId="0" fontId="76" fillId="8" borderId="0" xfId="0" applyFont="1" applyFill="1" applyBorder="1" applyAlignment="1" applyProtection="1">
      <alignment horizontal="center" vertical="center" wrapText="1"/>
    </xf>
    <xf numFmtId="0" fontId="76" fillId="8" borderId="0" xfId="0" applyFont="1" applyFill="1" applyAlignment="1" applyProtection="1">
      <alignment horizontal="center" vertical="center" wrapText="1"/>
    </xf>
    <xf numFmtId="0" fontId="70" fillId="0" borderId="0" xfId="0" applyFont="1" applyAlignment="1" applyProtection="1">
      <alignment vertical="center"/>
    </xf>
    <xf numFmtId="0" fontId="70" fillId="0" borderId="0" xfId="0" applyFont="1" applyAlignment="1" applyProtection="1">
      <alignment horizontal="left" vertical="center"/>
    </xf>
    <xf numFmtId="9" fontId="63" fillId="5" borderId="0" xfId="0" applyNumberFormat="1"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1" fontId="55" fillId="0" borderId="0" xfId="0" applyNumberFormat="1" applyFont="1" applyFill="1" applyAlignment="1" applyProtection="1">
      <alignment vertical="center"/>
    </xf>
    <xf numFmtId="0" fontId="29" fillId="0" borderId="0" xfId="0" applyFont="1" applyBorder="1" applyAlignment="1" applyProtection="1">
      <alignment vertical="center" wrapText="1"/>
    </xf>
    <xf numFmtId="0" fontId="29" fillId="0" borderId="0" xfId="0" applyFont="1" applyFill="1" applyBorder="1" applyAlignment="1" applyProtection="1">
      <alignment horizontal="right" vertical="center" wrapText="1"/>
    </xf>
    <xf numFmtId="0" fontId="30" fillId="0" borderId="0" xfId="0" applyFont="1" applyBorder="1" applyAlignment="1" applyProtection="1">
      <alignment horizontal="right" vertical="center"/>
    </xf>
    <xf numFmtId="0" fontId="30" fillId="0" borderId="0" xfId="0" applyFont="1" applyBorder="1" applyAlignment="1" applyProtection="1">
      <alignment horizontal="right" vertical="center" wrapText="1"/>
    </xf>
    <xf numFmtId="0" fontId="80" fillId="0" borderId="0" xfId="0" applyFont="1" applyFill="1" applyBorder="1" applyAlignment="1" applyProtection="1">
      <alignment horizontal="right" vertical="center" wrapText="1"/>
    </xf>
    <xf numFmtId="0" fontId="91" fillId="0" borderId="0" xfId="0" applyFont="1" applyFill="1" applyBorder="1" applyAlignment="1" applyProtection="1">
      <alignment horizontal="right" vertical="center"/>
    </xf>
    <xf numFmtId="0" fontId="79" fillId="0" borderId="0" xfId="0" applyFont="1" applyFill="1" applyBorder="1" applyAlignment="1" applyProtection="1">
      <alignment horizontal="right" vertical="center" wrapText="1"/>
    </xf>
    <xf numFmtId="0" fontId="90" fillId="0" borderId="6" xfId="0" applyFont="1" applyBorder="1" applyAlignment="1" applyProtection="1">
      <alignment horizontal="left" vertical="center"/>
    </xf>
    <xf numFmtId="0" fontId="29" fillId="0" borderId="7" xfId="0" applyFont="1" applyBorder="1" applyAlignment="1" applyProtection="1">
      <alignment horizontal="right" vertical="center" wrapText="1"/>
    </xf>
    <xf numFmtId="0" fontId="29" fillId="0" borderId="8" xfId="0" applyFont="1" applyBorder="1" applyAlignment="1" applyProtection="1">
      <alignment horizontal="right" vertical="center" wrapText="1"/>
    </xf>
    <xf numFmtId="0" fontId="29" fillId="0" borderId="9" xfId="0" applyFont="1" applyBorder="1" applyAlignment="1" applyProtection="1">
      <alignment vertical="center"/>
    </xf>
    <xf numFmtId="0" fontId="80" fillId="0" borderId="0" xfId="0" applyFont="1" applyFill="1" applyAlignment="1" applyProtection="1">
      <alignment horizontal="right" vertical="center"/>
    </xf>
    <xf numFmtId="0" fontId="79" fillId="0" borderId="12" xfId="0" applyFont="1" applyFill="1" applyBorder="1" applyAlignment="1" applyProtection="1">
      <alignment vertical="center"/>
    </xf>
    <xf numFmtId="0" fontId="55" fillId="0" borderId="0" xfId="0" applyFont="1" applyFill="1" applyAlignment="1" applyProtection="1">
      <alignment vertical="center"/>
    </xf>
    <xf numFmtId="0" fontId="63" fillId="19" borderId="0" xfId="0" applyFont="1" applyFill="1" applyAlignment="1" applyProtection="1">
      <alignment vertical="center"/>
    </xf>
    <xf numFmtId="9" fontId="33" fillId="19" borderId="0" xfId="0" applyNumberFormat="1" applyFont="1" applyFill="1" applyBorder="1" applyAlignment="1" applyProtection="1">
      <alignment horizontal="center" vertical="center"/>
    </xf>
    <xf numFmtId="9" fontId="33" fillId="19" borderId="0" xfId="0" applyNumberFormat="1" applyFont="1" applyFill="1" applyAlignment="1" applyProtection="1">
      <alignment horizontal="center" vertical="center"/>
    </xf>
    <xf numFmtId="0" fontId="63" fillId="19" borderId="0" xfId="0" applyFont="1" applyFill="1" applyAlignment="1" applyProtection="1">
      <alignment horizontal="left" vertical="center"/>
    </xf>
    <xf numFmtId="0" fontId="31" fillId="0" borderId="0" xfId="0" applyFont="1" applyFill="1" applyAlignment="1" applyProtection="1">
      <alignment vertical="center"/>
    </xf>
    <xf numFmtId="164" fontId="44" fillId="19" borderId="0" xfId="2" applyNumberFormat="1" applyFont="1" applyFill="1" applyAlignment="1" applyProtection="1">
      <alignment horizontal="center" vertical="center"/>
    </xf>
    <xf numFmtId="164" fontId="79" fillId="0" borderId="0" xfId="2" applyNumberFormat="1" applyFont="1" applyFill="1" applyAlignment="1" applyProtection="1">
      <alignment horizontal="center" vertical="center"/>
    </xf>
    <xf numFmtId="164" fontId="79" fillId="0" borderId="12" xfId="2" applyNumberFormat="1" applyFont="1" applyFill="1" applyBorder="1" applyAlignment="1" applyProtection="1">
      <alignment horizontal="center" vertical="center"/>
    </xf>
    <xf numFmtId="164" fontId="93" fillId="0" borderId="0" xfId="2" applyNumberFormat="1" applyFont="1" applyFill="1" applyAlignment="1" applyProtection="1">
      <alignment horizontal="center" vertical="center"/>
    </xf>
    <xf numFmtId="0" fontId="67" fillId="0" borderId="0" xfId="0" applyFont="1" applyAlignment="1" applyProtection="1">
      <alignment vertical="center"/>
    </xf>
    <xf numFmtId="9" fontId="35" fillId="0" borderId="0" xfId="0" applyNumberFormat="1" applyFont="1" applyFill="1" applyBorder="1" applyAlignment="1" applyProtection="1">
      <alignment vertical="center"/>
    </xf>
    <xf numFmtId="9" fontId="35" fillId="8" borderId="0" xfId="0" applyNumberFormat="1" applyFont="1" applyFill="1" applyBorder="1" applyAlignment="1" applyProtection="1">
      <alignment horizontal="center" vertical="center"/>
    </xf>
    <xf numFmtId="9" fontId="35" fillId="6" borderId="0" xfId="0" applyNumberFormat="1" applyFont="1" applyFill="1" applyAlignment="1" applyProtection="1">
      <alignment horizontal="center" vertical="center"/>
    </xf>
    <xf numFmtId="9" fontId="35" fillId="0" borderId="0" xfId="0" applyNumberFormat="1" applyFont="1" applyFill="1" applyAlignment="1" applyProtection="1">
      <alignment horizontal="center" vertical="center"/>
    </xf>
    <xf numFmtId="0" fontId="32" fillId="0" borderId="0" xfId="0" applyFont="1" applyFill="1" applyAlignment="1" applyProtection="1">
      <alignment vertical="center"/>
    </xf>
    <xf numFmtId="164" fontId="32" fillId="0" borderId="0" xfId="2" applyNumberFormat="1" applyFont="1" applyFill="1" applyAlignment="1" applyProtection="1">
      <alignment horizontal="center" vertical="center"/>
    </xf>
    <xf numFmtId="164" fontId="81" fillId="0" borderId="0" xfId="2" applyNumberFormat="1" applyFont="1" applyFill="1" applyAlignment="1" applyProtection="1">
      <alignment horizontal="center" vertical="center"/>
    </xf>
    <xf numFmtId="164" fontId="81" fillId="0" borderId="12" xfId="2" applyNumberFormat="1" applyFont="1" applyFill="1" applyBorder="1" applyAlignment="1" applyProtection="1">
      <alignment horizontal="center" vertical="center"/>
    </xf>
    <xf numFmtId="164" fontId="94" fillId="0" borderId="0" xfId="2" applyNumberFormat="1" applyFont="1" applyFill="1" applyAlignment="1" applyProtection="1">
      <alignment horizontal="center" vertical="center"/>
    </xf>
    <xf numFmtId="0" fontId="66" fillId="14" borderId="0" xfId="0" applyFont="1" applyFill="1" applyAlignment="1" applyProtection="1">
      <alignment vertical="center"/>
    </xf>
    <xf numFmtId="9" fontId="77" fillId="24" borderId="17" xfId="0" applyNumberFormat="1" applyFont="1" applyFill="1" applyBorder="1" applyAlignment="1" applyProtection="1">
      <alignment horizontal="center" vertical="center"/>
      <protection locked="0"/>
    </xf>
    <xf numFmtId="9" fontId="34" fillId="14" borderId="0" xfId="0" applyNumberFormat="1" applyFont="1" applyFill="1" applyBorder="1" applyAlignment="1" applyProtection="1">
      <alignment horizontal="center" vertical="center"/>
    </xf>
    <xf numFmtId="9" fontId="34" fillId="14" borderId="0" xfId="0" applyNumberFormat="1" applyFont="1" applyFill="1" applyAlignment="1" applyProtection="1">
      <alignment horizontal="center" vertical="center"/>
    </xf>
    <xf numFmtId="9" fontId="66" fillId="14" borderId="0" xfId="0" applyNumberFormat="1" applyFont="1" applyFill="1" applyAlignment="1" applyProtection="1">
      <alignment horizontal="center" vertical="center"/>
    </xf>
    <xf numFmtId="0" fontId="66" fillId="30" borderId="0" xfId="0" applyFont="1" applyFill="1" applyAlignment="1" applyProtection="1">
      <alignment vertical="center"/>
    </xf>
    <xf numFmtId="164" fontId="31" fillId="14" borderId="0" xfId="2" applyNumberFormat="1" applyFont="1" applyFill="1" applyAlignment="1" applyProtection="1">
      <alignment horizontal="center" vertical="center"/>
    </xf>
    <xf numFmtId="3" fontId="79" fillId="0" borderId="0" xfId="2" applyNumberFormat="1" applyFont="1" applyFill="1" applyAlignment="1" applyProtection="1">
      <alignment horizontal="center" vertical="center"/>
    </xf>
    <xf numFmtId="0" fontId="68" fillId="0" borderId="0" xfId="0" applyFont="1" applyAlignment="1" applyProtection="1">
      <alignment horizontal="right" vertical="center"/>
    </xf>
    <xf numFmtId="9" fontId="47" fillId="6" borderId="0" xfId="0" applyNumberFormat="1" applyFont="1" applyFill="1" applyBorder="1" applyAlignment="1" applyProtection="1">
      <alignment horizontal="right" vertical="center"/>
    </xf>
    <xf numFmtId="9" fontId="47" fillId="6" borderId="0" xfId="0" applyNumberFormat="1" applyFont="1" applyFill="1" applyAlignment="1" applyProtection="1">
      <alignment horizontal="center" vertical="center"/>
    </xf>
    <xf numFmtId="9" fontId="68" fillId="0" borderId="0" xfId="0" applyNumberFormat="1" applyFont="1" applyFill="1" applyAlignment="1" applyProtection="1">
      <alignment horizontal="center" vertical="center"/>
    </xf>
    <xf numFmtId="0" fontId="67" fillId="0" borderId="0" xfId="0" applyFont="1" applyFill="1" applyAlignment="1" applyProtection="1">
      <alignment vertical="center"/>
    </xf>
    <xf numFmtId="0" fontId="70" fillId="0" borderId="0" xfId="0" applyFont="1" applyFill="1" applyAlignment="1" applyProtection="1">
      <alignment vertical="center"/>
    </xf>
    <xf numFmtId="164" fontId="29" fillId="0" borderId="0" xfId="2" applyNumberFormat="1" applyFont="1" applyAlignment="1" applyProtection="1">
      <alignment vertical="center"/>
    </xf>
    <xf numFmtId="164" fontId="80" fillId="0" borderId="0" xfId="2" applyNumberFormat="1" applyFont="1" applyFill="1" applyAlignment="1" applyProtection="1">
      <alignment vertical="center"/>
    </xf>
    <xf numFmtId="164" fontId="80" fillId="0" borderId="12" xfId="2" applyNumberFormat="1" applyFont="1" applyFill="1" applyBorder="1" applyAlignment="1" applyProtection="1">
      <alignment vertical="center"/>
    </xf>
    <xf numFmtId="164" fontId="80" fillId="0" borderId="0" xfId="0" applyNumberFormat="1" applyFont="1" applyFill="1" applyAlignment="1" applyProtection="1">
      <alignment vertical="center"/>
    </xf>
    <xf numFmtId="164" fontId="55" fillId="0" borderId="0" xfId="2" applyNumberFormat="1" applyFont="1" applyFill="1" applyAlignment="1" applyProtection="1">
      <alignment vertical="center"/>
    </xf>
    <xf numFmtId="0" fontId="68" fillId="0" borderId="0" xfId="0" applyFont="1" applyFill="1" applyAlignment="1" applyProtection="1">
      <alignment horizontal="right" vertical="center"/>
    </xf>
    <xf numFmtId="0" fontId="29" fillId="0" borderId="0" xfId="0" applyFont="1" applyFill="1" applyBorder="1" applyAlignment="1" applyProtection="1">
      <alignment vertical="center"/>
    </xf>
    <xf numFmtId="9" fontId="48" fillId="6" borderId="0" xfId="0" applyNumberFormat="1" applyFont="1" applyFill="1" applyBorder="1" applyAlignment="1" applyProtection="1">
      <alignment horizontal="right" vertical="center"/>
    </xf>
    <xf numFmtId="0" fontId="66" fillId="13" borderId="0" xfId="0" applyFont="1" applyFill="1" applyAlignment="1" applyProtection="1">
      <alignment vertical="center"/>
    </xf>
    <xf numFmtId="9" fontId="34" fillId="13" borderId="0" xfId="0" applyNumberFormat="1" applyFont="1" applyFill="1" applyBorder="1" applyAlignment="1" applyProtection="1">
      <alignment horizontal="center" vertical="center"/>
    </xf>
    <xf numFmtId="9" fontId="34" fillId="13" borderId="0" xfId="0" applyNumberFormat="1" applyFont="1" applyFill="1" applyAlignment="1" applyProtection="1">
      <alignment horizontal="center" vertical="center"/>
    </xf>
    <xf numFmtId="9" fontId="66" fillId="13" borderId="0" xfId="0" applyNumberFormat="1" applyFont="1" applyFill="1" applyAlignment="1" applyProtection="1">
      <alignment horizontal="center" vertical="center"/>
    </xf>
    <xf numFmtId="164" fontId="31" fillId="13" borderId="0" xfId="2" applyNumberFormat="1" applyFont="1" applyFill="1" applyAlignment="1" applyProtection="1">
      <alignment horizontal="center" vertical="center"/>
    </xf>
    <xf numFmtId="0" fontId="66" fillId="18" borderId="0" xfId="0" applyFont="1" applyFill="1" applyAlignment="1" applyProtection="1">
      <alignment vertical="center"/>
    </xf>
    <xf numFmtId="9" fontId="34" fillId="18" borderId="0" xfId="0" applyNumberFormat="1" applyFont="1" applyFill="1" applyBorder="1" applyAlignment="1" applyProtection="1">
      <alignment horizontal="center" vertical="center"/>
    </xf>
    <xf numFmtId="9" fontId="34" fillId="18" borderId="0" xfId="0" applyNumberFormat="1" applyFont="1" applyFill="1" applyAlignment="1" applyProtection="1">
      <alignment horizontal="center" vertical="center"/>
    </xf>
    <xf numFmtId="9" fontId="66" fillId="18" borderId="0" xfId="0" applyNumberFormat="1" applyFont="1" applyFill="1" applyAlignment="1" applyProtection="1">
      <alignment horizontal="center" vertical="center"/>
    </xf>
    <xf numFmtId="0" fontId="66" fillId="18" borderId="0" xfId="0" applyFont="1" applyFill="1" applyBorder="1" applyAlignment="1" applyProtection="1">
      <alignment vertical="center"/>
    </xf>
    <xf numFmtId="164" fontId="31" fillId="18" borderId="0" xfId="2" applyNumberFormat="1" applyFont="1" applyFill="1" applyAlignment="1" applyProtection="1">
      <alignment horizontal="center" vertical="center"/>
    </xf>
    <xf numFmtId="9" fontId="48" fillId="6" borderId="0" xfId="0" applyNumberFormat="1" applyFont="1" applyFill="1" applyAlignment="1" applyProtection="1">
      <alignment horizontal="center" vertical="center"/>
    </xf>
    <xf numFmtId="9" fontId="92" fillId="0" borderId="0" xfId="0" applyNumberFormat="1" applyFont="1" applyFill="1" applyAlignment="1" applyProtection="1">
      <alignment horizontal="center" vertical="center"/>
    </xf>
    <xf numFmtId="0" fontId="66" fillId="31" borderId="0" xfId="0" applyFont="1" applyFill="1" applyAlignment="1" applyProtection="1">
      <alignment vertical="center"/>
    </xf>
    <xf numFmtId="9" fontId="34" fillId="17" borderId="0" xfId="0" applyNumberFormat="1" applyFont="1" applyFill="1" applyBorder="1" applyAlignment="1" applyProtection="1">
      <alignment horizontal="center" vertical="center"/>
    </xf>
    <xf numFmtId="9" fontId="34" fillId="17" borderId="0" xfId="0" applyNumberFormat="1" applyFont="1" applyFill="1" applyAlignment="1" applyProtection="1">
      <alignment horizontal="center" vertical="center"/>
    </xf>
    <xf numFmtId="9" fontId="66" fillId="31" borderId="0" xfId="0" applyNumberFormat="1" applyFont="1" applyFill="1" applyAlignment="1" applyProtection="1">
      <alignment horizontal="center" vertical="center"/>
    </xf>
    <xf numFmtId="164" fontId="31" fillId="17" borderId="0" xfId="2" applyNumberFormat="1" applyFont="1" applyFill="1" applyAlignment="1" applyProtection="1">
      <alignment horizontal="center" vertical="center"/>
    </xf>
    <xf numFmtId="9" fontId="35" fillId="6" borderId="0" xfId="0" applyNumberFormat="1" applyFont="1" applyFill="1" applyBorder="1" applyAlignment="1" applyProtection="1">
      <alignment horizontal="center" vertical="center"/>
    </xf>
    <xf numFmtId="9" fontId="35" fillId="0" borderId="0" xfId="0" applyNumberFormat="1" applyFont="1" applyBorder="1" applyAlignment="1" applyProtection="1">
      <alignment vertical="center"/>
    </xf>
    <xf numFmtId="9" fontId="67" fillId="0" borderId="0" xfId="0" applyNumberFormat="1" applyFont="1" applyFill="1" applyAlignment="1" applyProtection="1">
      <alignment horizontal="center" vertical="center"/>
    </xf>
    <xf numFmtId="0" fontId="63" fillId="5" borderId="0" xfId="0" applyFont="1" applyFill="1" applyAlignment="1" applyProtection="1">
      <alignment vertical="center"/>
    </xf>
    <xf numFmtId="164" fontId="44" fillId="5" borderId="0" xfId="2" applyNumberFormat="1" applyFont="1" applyFill="1" applyAlignment="1" applyProtection="1">
      <alignment horizontal="center" vertical="center"/>
    </xf>
    <xf numFmtId="164" fontId="29" fillId="0" borderId="0" xfId="2" applyNumberFormat="1" applyFont="1" applyAlignment="1" applyProtection="1">
      <alignment horizontal="center" vertical="center"/>
    </xf>
    <xf numFmtId="164" fontId="80" fillId="0" borderId="0" xfId="2" applyNumberFormat="1" applyFont="1" applyFill="1" applyAlignment="1" applyProtection="1">
      <alignment horizontal="center" vertical="center"/>
    </xf>
    <xf numFmtId="164" fontId="80" fillId="0" borderId="12" xfId="2" applyNumberFormat="1" applyFont="1" applyFill="1" applyBorder="1" applyAlignment="1" applyProtection="1">
      <alignment horizontal="center" vertical="center"/>
    </xf>
    <xf numFmtId="164" fontId="55" fillId="0" borderId="0" xfId="2" applyNumberFormat="1" applyFont="1" applyFill="1" applyAlignment="1" applyProtection="1">
      <alignment horizontal="center" vertical="center"/>
    </xf>
    <xf numFmtId="0" fontId="66" fillId="20" borderId="0" xfId="0" applyFont="1" applyFill="1" applyAlignment="1" applyProtection="1">
      <alignment vertical="center"/>
    </xf>
    <xf numFmtId="9" fontId="66" fillId="20" borderId="0" xfId="0" applyNumberFormat="1" applyFont="1" applyFill="1" applyAlignment="1" applyProtection="1">
      <alignment horizontal="center" vertical="center"/>
    </xf>
    <xf numFmtId="164" fontId="31" fillId="20" borderId="0" xfId="2" applyNumberFormat="1" applyFont="1" applyFill="1" applyAlignment="1" applyProtection="1">
      <alignment horizontal="center" vertical="center"/>
    </xf>
    <xf numFmtId="0" fontId="66" fillId="12" borderId="0" xfId="0" applyFont="1" applyFill="1" applyAlignment="1" applyProtection="1">
      <alignment vertical="center"/>
    </xf>
    <xf numFmtId="9" fontId="34" fillId="12" borderId="0" xfId="0" applyNumberFormat="1" applyFont="1" applyFill="1" applyBorder="1" applyAlignment="1" applyProtection="1">
      <alignment horizontal="center" vertical="center"/>
    </xf>
    <xf numFmtId="9" fontId="34" fillId="12" borderId="0" xfId="0" applyNumberFormat="1" applyFont="1" applyFill="1" applyAlignment="1" applyProtection="1">
      <alignment horizontal="center" vertical="center"/>
    </xf>
    <xf numFmtId="9" fontId="66" fillId="12" borderId="0" xfId="0" applyNumberFormat="1" applyFont="1" applyFill="1" applyAlignment="1" applyProtection="1">
      <alignment horizontal="center" vertical="center"/>
    </xf>
    <xf numFmtId="164" fontId="31" fillId="12" borderId="0" xfId="2" applyNumberFormat="1" applyFont="1" applyFill="1" applyAlignment="1" applyProtection="1">
      <alignment horizontal="center" vertical="center"/>
    </xf>
    <xf numFmtId="0" fontId="66" fillId="15" borderId="0" xfId="0" applyFont="1" applyFill="1" applyAlignment="1" applyProtection="1">
      <alignment vertical="center"/>
    </xf>
    <xf numFmtId="9" fontId="34" fillId="15" borderId="0" xfId="0" applyNumberFormat="1" applyFont="1" applyFill="1" applyBorder="1" applyAlignment="1" applyProtection="1">
      <alignment horizontal="center" vertical="center"/>
    </xf>
    <xf numFmtId="9" fontId="34" fillId="15" borderId="0" xfId="0" applyNumberFormat="1" applyFont="1" applyFill="1" applyAlignment="1" applyProtection="1">
      <alignment horizontal="center" vertical="center"/>
    </xf>
    <xf numFmtId="9" fontId="66" fillId="15" borderId="0" xfId="0" applyNumberFormat="1" applyFont="1" applyFill="1" applyAlignment="1" applyProtection="1">
      <alignment horizontal="center" vertical="center"/>
    </xf>
    <xf numFmtId="164" fontId="31" fillId="15" borderId="0" xfId="2" applyNumberFormat="1" applyFont="1" applyFill="1" applyAlignment="1" applyProtection="1">
      <alignment horizontal="center" vertical="center"/>
    </xf>
    <xf numFmtId="0" fontId="68" fillId="0" borderId="0" xfId="0" applyFont="1" applyAlignment="1" applyProtection="1">
      <alignment horizontal="left" vertical="center"/>
    </xf>
    <xf numFmtId="0" fontId="66" fillId="21" borderId="0" xfId="0" applyFont="1" applyFill="1" applyAlignment="1" applyProtection="1">
      <alignment vertical="center"/>
    </xf>
    <xf numFmtId="9" fontId="34" fillId="21" borderId="0" xfId="0" applyNumberFormat="1" applyFont="1" applyFill="1" applyBorder="1" applyAlignment="1" applyProtection="1">
      <alignment horizontal="center" vertical="center"/>
    </xf>
    <xf numFmtId="9" fontId="34" fillId="21" borderId="0" xfId="0" applyNumberFormat="1" applyFont="1" applyFill="1" applyAlignment="1" applyProtection="1">
      <alignment horizontal="center" vertical="center"/>
    </xf>
    <xf numFmtId="9" fontId="66" fillId="21" borderId="0" xfId="0" applyNumberFormat="1" applyFont="1" applyFill="1" applyAlignment="1" applyProtection="1">
      <alignment horizontal="center" vertical="center"/>
    </xf>
    <xf numFmtId="164" fontId="31" fillId="21" borderId="0" xfId="2" applyNumberFormat="1" applyFont="1" applyFill="1" applyAlignment="1" applyProtection="1">
      <alignment horizontal="center" vertical="center"/>
    </xf>
    <xf numFmtId="0" fontId="66" fillId="11" borderId="0" xfId="0" applyFont="1" applyFill="1" applyAlignment="1" applyProtection="1">
      <alignment vertical="center"/>
    </xf>
    <xf numFmtId="9" fontId="34" fillId="11" borderId="0" xfId="0" applyNumberFormat="1" applyFont="1" applyFill="1" applyBorder="1" applyAlignment="1" applyProtection="1">
      <alignment horizontal="center" vertical="center"/>
    </xf>
    <xf numFmtId="9" fontId="34" fillId="11" borderId="0" xfId="0" applyNumberFormat="1" applyFont="1" applyFill="1" applyAlignment="1" applyProtection="1">
      <alignment horizontal="center" vertical="center"/>
    </xf>
    <xf numFmtId="9" fontId="66" fillId="11" borderId="0" xfId="0" applyNumberFormat="1" applyFont="1" applyFill="1" applyAlignment="1" applyProtection="1">
      <alignment horizontal="center" vertical="center"/>
    </xf>
    <xf numFmtId="164" fontId="31" fillId="11" borderId="0" xfId="2" applyNumberFormat="1" applyFont="1" applyFill="1" applyAlignment="1" applyProtection="1">
      <alignment horizontal="center" vertical="center"/>
    </xf>
    <xf numFmtId="0" fontId="66" fillId="0" borderId="0" xfId="0" applyFont="1" applyFill="1" applyAlignment="1" applyProtection="1">
      <alignment vertical="center"/>
    </xf>
    <xf numFmtId="9" fontId="34" fillId="0" borderId="0" xfId="0" applyNumberFormat="1" applyFont="1" applyFill="1" applyBorder="1" applyAlignment="1" applyProtection="1">
      <alignment horizontal="center" vertical="center"/>
    </xf>
    <xf numFmtId="9" fontId="34" fillId="0" borderId="0" xfId="0" applyNumberFormat="1" applyFont="1" applyFill="1" applyAlignment="1" applyProtection="1">
      <alignment horizontal="center" vertical="center"/>
    </xf>
    <xf numFmtId="0" fontId="29" fillId="0" borderId="0" xfId="0" applyFont="1" applyFill="1" applyAlignment="1" applyProtection="1">
      <alignment horizontal="right" vertical="center"/>
    </xf>
    <xf numFmtId="164" fontId="31" fillId="0" borderId="0" xfId="2" applyNumberFormat="1" applyFont="1" applyFill="1" applyAlignment="1" applyProtection="1">
      <alignment horizontal="center" vertical="center"/>
    </xf>
    <xf numFmtId="164" fontId="31" fillId="0" borderId="12" xfId="2" applyNumberFormat="1" applyFont="1" applyFill="1" applyBorder="1" applyAlignment="1" applyProtection="1">
      <alignment horizontal="center" vertical="center"/>
    </xf>
    <xf numFmtId="0" fontId="66" fillId="8" borderId="0" xfId="0" applyFont="1" applyFill="1" applyBorder="1" applyAlignment="1" applyProtection="1">
      <alignment vertical="center"/>
    </xf>
    <xf numFmtId="9" fontId="34" fillId="8" borderId="0" xfId="0" applyNumberFormat="1" applyFont="1" applyFill="1" applyBorder="1" applyAlignment="1" applyProtection="1">
      <alignment horizontal="center" vertical="center"/>
    </xf>
    <xf numFmtId="0" fontId="76" fillId="8" borderId="0" xfId="0" applyFont="1" applyFill="1" applyBorder="1" applyAlignment="1" applyProtection="1">
      <alignment vertical="center"/>
    </xf>
    <xf numFmtId="9" fontId="76" fillId="8" borderId="0" xfId="0" applyNumberFormat="1" applyFont="1" applyFill="1" applyBorder="1" applyAlignment="1" applyProtection="1">
      <alignment horizontal="center" vertical="center"/>
    </xf>
    <xf numFmtId="41" fontId="80" fillId="0" borderId="0" xfId="0" applyNumberFormat="1" applyFont="1" applyFill="1" applyAlignment="1" applyProtection="1">
      <alignment vertical="center"/>
    </xf>
    <xf numFmtId="0" fontId="66" fillId="0" borderId="0" xfId="0" applyFont="1" applyFill="1" applyBorder="1" applyAlignment="1" applyProtection="1">
      <alignment vertical="center"/>
    </xf>
    <xf numFmtId="9" fontId="31" fillId="0" borderId="0" xfId="0" applyNumberFormat="1" applyFont="1" applyFill="1" applyBorder="1" applyAlignment="1" applyProtection="1">
      <alignment horizontal="center" vertical="center"/>
    </xf>
    <xf numFmtId="164" fontId="30" fillId="0" borderId="12" xfId="2" applyNumberFormat="1" applyFont="1" applyBorder="1" applyAlignment="1" applyProtection="1">
      <alignment vertical="center"/>
    </xf>
    <xf numFmtId="9" fontId="29" fillId="0" borderId="0" xfId="1" applyFont="1" applyAlignment="1" applyProtection="1">
      <alignment vertical="center"/>
    </xf>
    <xf numFmtId="9" fontId="29" fillId="0" borderId="16" xfId="1" applyFont="1" applyBorder="1" applyAlignment="1" applyProtection="1">
      <alignment vertical="center"/>
    </xf>
    <xf numFmtId="9" fontId="80" fillId="0" borderId="0" xfId="1" applyFont="1" applyFill="1" applyAlignment="1" applyProtection="1">
      <alignment vertical="center"/>
    </xf>
    <xf numFmtId="3" fontId="35" fillId="0" borderId="0" xfId="0" applyNumberFormat="1" applyFont="1" applyFill="1" applyAlignment="1" applyProtection="1">
      <alignment vertical="center"/>
    </xf>
    <xf numFmtId="0" fontId="35" fillId="0" borderId="0" xfId="0" applyFont="1" applyFill="1" applyAlignment="1" applyProtection="1">
      <alignment vertical="center"/>
    </xf>
    <xf numFmtId="9" fontId="31" fillId="14" borderId="0" xfId="0" applyNumberFormat="1" applyFont="1" applyFill="1" applyAlignment="1" applyProtection="1">
      <alignment horizontal="center" vertical="center"/>
    </xf>
    <xf numFmtId="0" fontId="72" fillId="0" borderId="0" xfId="0" applyFont="1" applyFill="1" applyBorder="1" applyAlignment="1" applyProtection="1">
      <alignment vertical="center"/>
    </xf>
    <xf numFmtId="37" fontId="63" fillId="0" borderId="0" xfId="2" applyNumberFormat="1" applyFont="1" applyFill="1" applyAlignment="1" applyProtection="1">
      <alignment horizontal="center" vertical="center"/>
    </xf>
    <xf numFmtId="9" fontId="64" fillId="6" borderId="0" xfId="0" applyNumberFormat="1" applyFont="1" applyFill="1" applyAlignment="1" applyProtection="1">
      <alignment horizontal="center" vertical="center"/>
    </xf>
    <xf numFmtId="3" fontId="72" fillId="0" borderId="0" xfId="0" applyNumberFormat="1" applyFont="1" applyFill="1" applyBorder="1" applyAlignment="1" applyProtection="1">
      <alignment horizontal="center" vertical="center"/>
    </xf>
    <xf numFmtId="0" fontId="72" fillId="0" borderId="0" xfId="0" applyFont="1" applyFill="1" applyBorder="1" applyAlignment="1" applyProtection="1">
      <alignment horizontal="left" vertical="center"/>
    </xf>
    <xf numFmtId="0" fontId="68" fillId="0" borderId="0" xfId="0" applyFont="1" applyFill="1" applyAlignment="1" applyProtection="1">
      <alignment horizontal="left" vertical="center"/>
    </xf>
    <xf numFmtId="3" fontId="68" fillId="0" borderId="0" xfId="0" applyNumberFormat="1" applyFont="1" applyFill="1" applyAlignment="1" applyProtection="1">
      <alignment horizontal="right" vertical="center"/>
    </xf>
    <xf numFmtId="3" fontId="68" fillId="0" borderId="0" xfId="0" applyNumberFormat="1" applyFont="1" applyFill="1" applyBorder="1" applyAlignment="1" applyProtection="1">
      <alignment horizontal="right" vertical="center"/>
    </xf>
    <xf numFmtId="164" fontId="68" fillId="0" borderId="0" xfId="2" applyNumberFormat="1" applyFont="1" applyFill="1" applyAlignment="1" applyProtection="1">
      <alignment horizontal="right" vertical="center"/>
    </xf>
    <xf numFmtId="3" fontId="68" fillId="0" borderId="0" xfId="0" applyNumberFormat="1" applyFont="1" applyFill="1" applyBorder="1" applyAlignment="1" applyProtection="1">
      <alignment vertical="center"/>
    </xf>
    <xf numFmtId="171" fontId="74" fillId="24" borderId="17" xfId="11" applyNumberFormat="1" applyFont="1" applyFill="1" applyBorder="1" applyAlignment="1" applyProtection="1">
      <alignment horizontal="center" vertical="center"/>
      <protection locked="0"/>
    </xf>
    <xf numFmtId="171" fontId="68" fillId="0" borderId="0" xfId="11" applyNumberFormat="1" applyFont="1" applyFill="1" applyAlignment="1" applyProtection="1">
      <alignment horizontal="right" vertical="center"/>
    </xf>
    <xf numFmtId="171" fontId="68" fillId="0" borderId="0" xfId="0" applyNumberFormat="1" applyFont="1" applyFill="1" applyAlignment="1" applyProtection="1">
      <alignment horizontal="right" vertical="center"/>
    </xf>
    <xf numFmtId="171" fontId="68" fillId="0" borderId="0" xfId="11" applyNumberFormat="1" applyFont="1" applyFill="1" applyBorder="1" applyAlignment="1" applyProtection="1">
      <alignment vertical="center"/>
    </xf>
    <xf numFmtId="9" fontId="47" fillId="0" borderId="0" xfId="0" applyNumberFormat="1" applyFont="1" applyFill="1" applyAlignment="1" applyProtection="1">
      <alignment horizontal="center" vertical="center"/>
    </xf>
    <xf numFmtId="0" fontId="68" fillId="0" borderId="0" xfId="0" applyFont="1" applyAlignment="1" applyProtection="1">
      <alignment vertical="center"/>
    </xf>
    <xf numFmtId="9" fontId="75" fillId="6" borderId="0" xfId="0" applyNumberFormat="1" applyFont="1" applyFill="1" applyAlignment="1" applyProtection="1">
      <alignment horizontal="center" vertical="center"/>
    </xf>
    <xf numFmtId="9" fontId="44" fillId="6" borderId="0" xfId="0" applyNumberFormat="1" applyFont="1" applyFill="1" applyBorder="1" applyAlignment="1" applyProtection="1">
      <alignment horizontal="right" vertical="center"/>
    </xf>
    <xf numFmtId="0" fontId="68" fillId="0" borderId="0" xfId="0" applyFont="1" applyFill="1" applyBorder="1" applyAlignment="1" applyProtection="1">
      <alignment vertical="center"/>
    </xf>
    <xf numFmtId="9" fontId="65" fillId="6" borderId="0" xfId="0" applyNumberFormat="1" applyFont="1" applyFill="1" applyBorder="1" applyAlignment="1" applyProtection="1">
      <alignment horizontal="right" vertical="center"/>
    </xf>
    <xf numFmtId="0" fontId="68" fillId="0" borderId="0" xfId="0" applyFont="1" applyFill="1" applyBorder="1" applyAlignment="1" applyProtection="1">
      <alignment horizontal="left" vertical="center"/>
    </xf>
    <xf numFmtId="3" fontId="75" fillId="6" borderId="0" xfId="0" applyNumberFormat="1" applyFont="1" applyFill="1" applyAlignment="1" applyProtection="1">
      <alignment horizontal="center" vertical="center"/>
    </xf>
    <xf numFmtId="0" fontId="0" fillId="0" borderId="0" xfId="0" applyAlignment="1" applyProtection="1">
      <alignment vertical="center"/>
    </xf>
    <xf numFmtId="0" fontId="35" fillId="0" borderId="0" xfId="0" applyFont="1" applyAlignment="1" applyProtection="1">
      <alignment vertical="center"/>
    </xf>
    <xf numFmtId="0" fontId="0" fillId="0" borderId="0" xfId="0" applyFont="1" applyAlignment="1" applyProtection="1">
      <alignment vertical="center"/>
    </xf>
    <xf numFmtId="9" fontId="31" fillId="18" borderId="0" xfId="0" applyNumberFormat="1" applyFont="1" applyFill="1" applyAlignment="1" applyProtection="1">
      <alignment horizontal="center" vertical="center"/>
    </xf>
    <xf numFmtId="37" fontId="78" fillId="0" borderId="0" xfId="2" applyNumberFormat="1" applyFont="1" applyFill="1" applyAlignment="1" applyProtection="1">
      <alignment horizontal="center" vertical="center"/>
    </xf>
    <xf numFmtId="0" fontId="33" fillId="0" borderId="0" xfId="0" applyFont="1" applyFill="1" applyBorder="1" applyAlignment="1" applyProtection="1">
      <alignment vertical="center"/>
    </xf>
    <xf numFmtId="3" fontId="33" fillId="0" borderId="0" xfId="0" applyNumberFormat="1" applyFont="1" applyFill="1" applyBorder="1" applyAlignment="1" applyProtection="1">
      <alignment vertical="center"/>
    </xf>
    <xf numFmtId="0" fontId="33" fillId="0" borderId="0" xfId="0" applyFont="1" applyFill="1" applyBorder="1" applyAlignment="1" applyProtection="1">
      <alignment horizontal="left" vertical="center"/>
    </xf>
    <xf numFmtId="0" fontId="71" fillId="0" borderId="0" xfId="0" applyFont="1" applyBorder="1" applyAlignment="1" applyProtection="1">
      <alignment horizontal="right" vertical="center"/>
    </xf>
    <xf numFmtId="3" fontId="71" fillId="0" borderId="0" xfId="0" applyNumberFormat="1" applyFont="1" applyBorder="1" applyAlignment="1" applyProtection="1">
      <alignment horizontal="right" vertical="center"/>
    </xf>
    <xf numFmtId="0" fontId="71" fillId="0" borderId="0" xfId="0" applyFont="1" applyBorder="1" applyAlignment="1" applyProtection="1">
      <alignment horizontal="left" vertical="center"/>
    </xf>
    <xf numFmtId="0" fontId="68" fillId="0" borderId="0" xfId="0" applyFont="1" applyBorder="1" applyAlignment="1" applyProtection="1">
      <alignment horizontal="left" vertical="center"/>
    </xf>
    <xf numFmtId="9" fontId="72" fillId="6" borderId="0" xfId="0" applyNumberFormat="1" applyFont="1" applyFill="1" applyAlignment="1" applyProtection="1">
      <alignment horizontal="center" vertical="center"/>
    </xf>
    <xf numFmtId="0" fontId="33" fillId="0" borderId="0" xfId="0" applyFont="1" applyFill="1" applyAlignment="1" applyProtection="1">
      <alignment horizontal="left" vertical="center"/>
    </xf>
    <xf numFmtId="9" fontId="65" fillId="6" borderId="0" xfId="0" applyNumberFormat="1" applyFont="1" applyFill="1" applyAlignment="1" applyProtection="1">
      <alignment horizontal="center" vertical="center"/>
    </xf>
    <xf numFmtId="9" fontId="48" fillId="0" borderId="0" xfId="0" applyNumberFormat="1" applyFont="1" applyFill="1" applyAlignment="1" applyProtection="1">
      <alignment horizontal="center" vertical="center"/>
    </xf>
    <xf numFmtId="0" fontId="35" fillId="0" borderId="0" xfId="0" applyFont="1" applyBorder="1" applyAlignment="1" applyProtection="1">
      <alignment vertical="center"/>
    </xf>
    <xf numFmtId="3" fontId="35" fillId="0" borderId="0" xfId="0" applyNumberFormat="1" applyFont="1" applyBorder="1" applyAlignment="1" applyProtection="1">
      <alignment vertical="center"/>
    </xf>
    <xf numFmtId="0" fontId="35" fillId="0" borderId="0" xfId="0" applyFont="1" applyBorder="1" applyAlignment="1" applyProtection="1">
      <alignment horizontal="left" vertical="center"/>
    </xf>
    <xf numFmtId="0" fontId="35" fillId="0" borderId="0" xfId="0" applyFont="1" applyFill="1" applyBorder="1" applyAlignment="1" applyProtection="1">
      <alignment vertical="center"/>
    </xf>
    <xf numFmtId="0" fontId="72" fillId="0" borderId="0" xfId="0" applyFont="1" applyAlignment="1" applyProtection="1">
      <alignment horizontal="left" vertical="center"/>
    </xf>
    <xf numFmtId="9" fontId="68" fillId="6" borderId="0" xfId="0" applyNumberFormat="1" applyFont="1" applyFill="1" applyAlignment="1" applyProtection="1">
      <alignment horizontal="center" vertical="center"/>
    </xf>
    <xf numFmtId="9" fontId="31" fillId="12" borderId="0" xfId="0" applyNumberFormat="1" applyFont="1" applyFill="1" applyAlignment="1" applyProtection="1">
      <alignment horizontal="center" vertical="center"/>
    </xf>
    <xf numFmtId="164" fontId="68" fillId="0" borderId="0" xfId="2" applyNumberFormat="1" applyFont="1" applyFill="1" applyAlignment="1" applyProtection="1">
      <alignment horizontal="center" vertical="center"/>
    </xf>
    <xf numFmtId="9" fontId="31" fillId="21" borderId="0" xfId="0" applyNumberFormat="1" applyFont="1" applyFill="1" applyAlignment="1" applyProtection="1">
      <alignment horizontal="center" vertical="center"/>
    </xf>
    <xf numFmtId="0" fontId="65" fillId="0" borderId="0" xfId="0" applyFont="1" applyAlignment="1" applyProtection="1">
      <alignment vertical="center"/>
    </xf>
    <xf numFmtId="0" fontId="65" fillId="0" borderId="0" xfId="0" applyFont="1" applyFill="1" applyAlignment="1" applyProtection="1">
      <alignment vertical="center"/>
    </xf>
    <xf numFmtId="0" fontId="65" fillId="0" borderId="0" xfId="0" applyFont="1" applyAlignment="1" applyProtection="1">
      <alignment horizontal="right" vertical="center"/>
    </xf>
    <xf numFmtId="0" fontId="44" fillId="0" borderId="0" xfId="0" applyFont="1" applyAlignment="1" applyProtection="1">
      <alignment vertical="center"/>
    </xf>
    <xf numFmtId="9" fontId="29" fillId="6" borderId="0" xfId="0" applyNumberFormat="1" applyFont="1" applyFill="1" applyAlignment="1" applyProtection="1">
      <alignment horizontal="center" vertical="center"/>
    </xf>
    <xf numFmtId="9" fontId="31" fillId="11" borderId="0" xfId="0" applyNumberFormat="1" applyFont="1" applyFill="1" applyAlignment="1" applyProtection="1">
      <alignment horizontal="center" vertical="center"/>
    </xf>
    <xf numFmtId="0" fontId="68" fillId="0" borderId="0" xfId="0" applyFont="1" applyFill="1" applyAlignment="1" applyProtection="1">
      <alignment vertical="center"/>
    </xf>
    <xf numFmtId="0" fontId="61" fillId="0" borderId="0" xfId="0" applyFont="1" applyAlignment="1">
      <alignment vertical="top" wrapText="1"/>
    </xf>
    <xf numFmtId="9" fontId="69" fillId="0" borderId="0" xfId="0" applyNumberFormat="1" applyFont="1" applyFill="1" applyAlignment="1" applyProtection="1">
      <alignment horizontal="left" vertical="center"/>
    </xf>
    <xf numFmtId="9" fontId="69" fillId="0" borderId="0" xfId="0" applyNumberFormat="1" applyFont="1" applyFill="1" applyAlignment="1" applyProtection="1">
      <alignment vertical="center"/>
    </xf>
    <xf numFmtId="9" fontId="66" fillId="32" borderId="0" xfId="0" applyNumberFormat="1" applyFont="1" applyFill="1" applyAlignment="1" applyProtection="1">
      <alignment horizontal="center" vertical="center"/>
    </xf>
    <xf numFmtId="0" fontId="66" fillId="32" borderId="0" xfId="0" applyFont="1" applyFill="1" applyAlignment="1" applyProtection="1">
      <alignment vertical="center"/>
    </xf>
    <xf numFmtId="0" fontId="3" fillId="0" borderId="6" xfId="0" applyFont="1" applyFill="1" applyBorder="1"/>
    <xf numFmtId="3" fontId="3" fillId="0" borderId="7" xfId="0" applyNumberFormat="1" applyFont="1" applyFill="1" applyBorder="1"/>
    <xf numFmtId="3" fontId="0" fillId="0" borderId="1" xfId="0" applyNumberFormat="1" applyFont="1" applyFill="1" applyBorder="1"/>
    <xf numFmtId="0" fontId="0" fillId="0" borderId="1" xfId="0" applyFill="1" applyBorder="1"/>
    <xf numFmtId="0" fontId="95" fillId="0" borderId="0" xfId="0" applyFont="1" applyFill="1" applyAlignment="1" applyProtection="1">
      <alignment vertical="center"/>
    </xf>
    <xf numFmtId="9" fontId="79" fillId="0" borderId="12" xfId="1" applyFont="1" applyFill="1" applyBorder="1" applyAlignment="1" applyProtection="1">
      <alignment vertical="center"/>
    </xf>
    <xf numFmtId="9" fontId="29" fillId="0" borderId="12" xfId="1" applyFont="1" applyBorder="1" applyAlignment="1" applyProtection="1">
      <alignment vertical="center"/>
    </xf>
    <xf numFmtId="164" fontId="79" fillId="0" borderId="12" xfId="2" applyNumberFormat="1" applyFont="1" applyFill="1" applyBorder="1" applyAlignment="1" applyProtection="1">
      <alignment vertical="center"/>
    </xf>
    <xf numFmtId="9" fontId="29" fillId="0" borderId="0" xfId="0" applyNumberFormat="1" applyFont="1" applyAlignment="1" applyProtection="1">
      <alignment vertical="center"/>
    </xf>
    <xf numFmtId="0" fontId="30" fillId="0" borderId="15" xfId="0" applyFont="1" applyBorder="1" applyAlignment="1" applyProtection="1">
      <alignment horizontal="right" vertical="center"/>
    </xf>
    <xf numFmtId="3" fontId="30" fillId="0" borderId="12" xfId="0" applyNumberFormat="1" applyFont="1" applyBorder="1" applyAlignment="1" applyProtection="1">
      <alignment horizontal="right" vertical="center"/>
    </xf>
    <xf numFmtId="0" fontId="30" fillId="0" borderId="12" xfId="0" applyFont="1" applyBorder="1" applyAlignment="1" applyProtection="1">
      <alignment horizontal="right" vertical="center"/>
    </xf>
    <xf numFmtId="164" fontId="44" fillId="19" borderId="12" xfId="2" applyNumberFormat="1" applyFont="1" applyFill="1" applyBorder="1" applyAlignment="1" applyProtection="1">
      <alignment horizontal="right" vertical="center"/>
    </xf>
    <xf numFmtId="164" fontId="32" fillId="0" borderId="12" xfId="2" applyNumberFormat="1" applyFont="1" applyFill="1" applyBorder="1" applyAlignment="1" applyProtection="1">
      <alignment horizontal="right" vertical="center"/>
    </xf>
    <xf numFmtId="164" fontId="31" fillId="14" borderId="12" xfId="2" applyNumberFormat="1" applyFont="1" applyFill="1" applyBorder="1" applyAlignment="1" applyProtection="1">
      <alignment horizontal="right" vertical="center"/>
    </xf>
    <xf numFmtId="164" fontId="29" fillId="0" borderId="12" xfId="2" applyNumberFormat="1" applyFont="1" applyBorder="1" applyAlignment="1" applyProtection="1">
      <alignment horizontal="right" vertical="center"/>
    </xf>
    <xf numFmtId="164" fontId="31" fillId="13" borderId="12" xfId="2" applyNumberFormat="1" applyFont="1" applyFill="1" applyBorder="1" applyAlignment="1" applyProtection="1">
      <alignment horizontal="right" vertical="center"/>
    </xf>
    <xf numFmtId="164" fontId="31" fillId="32" borderId="12" xfId="2" applyNumberFormat="1" applyFont="1" applyFill="1" applyBorder="1" applyAlignment="1" applyProtection="1">
      <alignment horizontal="right" vertical="center"/>
    </xf>
    <xf numFmtId="164" fontId="31" fillId="18" borderId="12" xfId="2" applyNumberFormat="1" applyFont="1" applyFill="1" applyBorder="1" applyAlignment="1" applyProtection="1">
      <alignment horizontal="right" vertical="center"/>
    </xf>
    <xf numFmtId="164" fontId="31" fillId="31" borderId="12" xfId="2" applyNumberFormat="1" applyFont="1" applyFill="1" applyBorder="1" applyAlignment="1" applyProtection="1">
      <alignment horizontal="right" vertical="center"/>
    </xf>
    <xf numFmtId="164" fontId="44" fillId="5" borderId="12" xfId="2" applyNumberFormat="1" applyFont="1" applyFill="1" applyBorder="1" applyAlignment="1" applyProtection="1">
      <alignment horizontal="right" vertical="center"/>
    </xf>
    <xf numFmtId="164" fontId="31" fillId="20" borderId="12" xfId="2" applyNumberFormat="1" applyFont="1" applyFill="1" applyBorder="1" applyAlignment="1" applyProtection="1">
      <alignment horizontal="right" vertical="center"/>
    </xf>
    <xf numFmtId="164" fontId="31" fillId="12" borderId="12" xfId="2" applyNumberFormat="1" applyFont="1" applyFill="1" applyBorder="1" applyAlignment="1" applyProtection="1">
      <alignment horizontal="right" vertical="center"/>
    </xf>
    <xf numFmtId="164" fontId="31" fillId="15" borderId="12" xfId="2" applyNumberFormat="1" applyFont="1" applyFill="1" applyBorder="1" applyAlignment="1" applyProtection="1">
      <alignment horizontal="right" vertical="center"/>
    </xf>
    <xf numFmtId="164" fontId="31" fillId="21" borderId="12" xfId="2" applyNumberFormat="1" applyFont="1" applyFill="1" applyBorder="1" applyAlignment="1" applyProtection="1">
      <alignment horizontal="right" vertical="center"/>
    </xf>
    <xf numFmtId="164" fontId="31" fillId="11" borderId="12" xfId="2" applyNumberFormat="1" applyFont="1" applyFill="1" applyBorder="1" applyAlignment="1" applyProtection="1">
      <alignment horizontal="right" vertical="center"/>
    </xf>
    <xf numFmtId="164" fontId="31" fillId="0" borderId="12" xfId="2" applyNumberFormat="1" applyFont="1" applyFill="1" applyBorder="1" applyAlignment="1" applyProtection="1">
      <alignment horizontal="right" vertical="center"/>
    </xf>
    <xf numFmtId="3" fontId="30" fillId="0" borderId="12" xfId="0" applyNumberFormat="1" applyFont="1" applyFill="1" applyBorder="1" applyAlignment="1" applyProtection="1">
      <alignment horizontal="right" vertical="center"/>
    </xf>
    <xf numFmtId="164" fontId="30" fillId="0" borderId="12" xfId="2" applyNumberFormat="1" applyFont="1" applyBorder="1" applyAlignment="1" applyProtection="1">
      <alignment horizontal="right" vertical="center"/>
    </xf>
    <xf numFmtId="9" fontId="30" fillId="0" borderId="12" xfId="1" applyFont="1" applyBorder="1" applyAlignment="1" applyProtection="1">
      <alignment horizontal="right" vertical="center"/>
    </xf>
    <xf numFmtId="9" fontId="30" fillId="0" borderId="12" xfId="0" applyNumberFormat="1" applyFont="1" applyBorder="1" applyAlignment="1" applyProtection="1">
      <alignment horizontal="right" vertical="center"/>
    </xf>
    <xf numFmtId="9" fontId="30" fillId="0" borderId="16" xfId="0" applyNumberFormat="1" applyFont="1" applyBorder="1" applyAlignment="1" applyProtection="1">
      <alignment horizontal="right" vertical="center"/>
    </xf>
    <xf numFmtId="0" fontId="30" fillId="0" borderId="0" xfId="0" applyFont="1" applyAlignment="1" applyProtection="1">
      <alignment horizontal="right" vertical="center"/>
    </xf>
    <xf numFmtId="3" fontId="80" fillId="0" borderId="0" xfId="0" applyNumberFormat="1" applyFont="1" applyFill="1" applyAlignment="1" applyProtection="1">
      <alignment horizontal="right" vertical="center"/>
    </xf>
    <xf numFmtId="3" fontId="29" fillId="0" borderId="0" xfId="0" applyNumberFormat="1" applyFont="1" applyAlignment="1" applyProtection="1">
      <alignment horizontal="right" vertical="center"/>
    </xf>
    <xf numFmtId="164" fontId="44" fillId="19" borderId="0" xfId="2" applyNumberFormat="1" applyFont="1" applyFill="1" applyAlignment="1" applyProtection="1">
      <alignment horizontal="right" vertical="center"/>
    </xf>
    <xf numFmtId="164" fontId="32" fillId="0" borderId="0" xfId="2" applyNumberFormat="1" applyFont="1" applyFill="1" applyAlignment="1" applyProtection="1">
      <alignment horizontal="right" vertical="center"/>
    </xf>
    <xf numFmtId="164" fontId="31" fillId="14" borderId="0" xfId="2" applyNumberFormat="1" applyFont="1" applyFill="1" applyAlignment="1" applyProtection="1">
      <alignment horizontal="right" vertical="center"/>
    </xf>
    <xf numFmtId="164" fontId="29" fillId="0" borderId="0" xfId="2" applyNumberFormat="1" applyFont="1" applyAlignment="1" applyProtection="1">
      <alignment horizontal="right" vertical="center"/>
    </xf>
    <xf numFmtId="164" fontId="31" fillId="13" borderId="0" xfId="2" applyNumberFormat="1" applyFont="1" applyFill="1" applyAlignment="1" applyProtection="1">
      <alignment horizontal="right" vertical="center"/>
    </xf>
    <xf numFmtId="164" fontId="31" fillId="32" borderId="0" xfId="2" applyNumberFormat="1" applyFont="1" applyFill="1" applyAlignment="1" applyProtection="1">
      <alignment horizontal="right" vertical="center"/>
    </xf>
    <xf numFmtId="164" fontId="31" fillId="18" borderId="0" xfId="2" applyNumberFormat="1" applyFont="1" applyFill="1" applyAlignment="1" applyProtection="1">
      <alignment horizontal="right" vertical="center"/>
    </xf>
    <xf numFmtId="164" fontId="31" fillId="31" borderId="0" xfId="2" applyNumberFormat="1" applyFont="1" applyFill="1" applyAlignment="1" applyProtection="1">
      <alignment horizontal="right" vertical="center"/>
    </xf>
    <xf numFmtId="164" fontId="44" fillId="5" borderId="0" xfId="2" applyNumberFormat="1" applyFont="1" applyFill="1" applyAlignment="1" applyProtection="1">
      <alignment horizontal="right" vertical="center"/>
    </xf>
    <xf numFmtId="164" fontId="31" fillId="20" borderId="0" xfId="2" applyNumberFormat="1" applyFont="1" applyFill="1" applyAlignment="1" applyProtection="1">
      <alignment horizontal="right" vertical="center"/>
    </xf>
    <xf numFmtId="164" fontId="31" fillId="12" borderId="0" xfId="2" applyNumberFormat="1" applyFont="1" applyFill="1" applyAlignment="1" applyProtection="1">
      <alignment horizontal="right" vertical="center"/>
    </xf>
    <xf numFmtId="164" fontId="31" fillId="15" borderId="0" xfId="2" applyNumberFormat="1" applyFont="1" applyFill="1" applyAlignment="1" applyProtection="1">
      <alignment horizontal="right" vertical="center"/>
    </xf>
    <xf numFmtId="164" fontId="31" fillId="21" borderId="0" xfId="2" applyNumberFormat="1" applyFont="1" applyFill="1" applyAlignment="1" applyProtection="1">
      <alignment horizontal="right" vertical="center"/>
    </xf>
    <xf numFmtId="164" fontId="31" fillId="11" borderId="0" xfId="2" applyNumberFormat="1" applyFont="1" applyFill="1" applyAlignment="1" applyProtection="1">
      <alignment horizontal="right" vertical="center"/>
    </xf>
    <xf numFmtId="164" fontId="31" fillId="0" borderId="0" xfId="2" applyNumberFormat="1" applyFont="1" applyFill="1" applyAlignment="1" applyProtection="1">
      <alignment horizontal="right" vertical="center"/>
    </xf>
    <xf numFmtId="41" fontId="29" fillId="0" borderId="0" xfId="0" applyNumberFormat="1" applyFont="1" applyFill="1" applyAlignment="1" applyProtection="1">
      <alignment horizontal="right" vertical="center"/>
    </xf>
    <xf numFmtId="9" fontId="29" fillId="0" borderId="0" xfId="1" applyFont="1" applyAlignment="1" applyProtection="1">
      <alignment horizontal="right" vertical="center"/>
    </xf>
    <xf numFmtId="9" fontId="29" fillId="0" borderId="0" xfId="0" applyNumberFormat="1" applyFont="1" applyAlignment="1" applyProtection="1">
      <alignment horizontal="right" vertical="center"/>
    </xf>
    <xf numFmtId="0" fontId="44" fillId="0" borderId="0" xfId="0" applyFont="1" applyAlignment="1" applyProtection="1">
      <alignment horizontal="right" vertical="center"/>
    </xf>
    <xf numFmtId="0" fontId="29" fillId="0" borderId="7" xfId="0" applyFont="1" applyFill="1" applyBorder="1" applyAlignment="1" applyProtection="1">
      <alignment vertical="center"/>
    </xf>
    <xf numFmtId="0" fontId="29" fillId="0" borderId="8" xfId="0" applyFont="1" applyBorder="1" applyAlignment="1" applyProtection="1">
      <alignment vertical="center"/>
    </xf>
    <xf numFmtId="0" fontId="29" fillId="0" borderId="10" xfId="0" applyFont="1" applyBorder="1" applyAlignment="1" applyProtection="1">
      <alignment vertical="center"/>
    </xf>
    <xf numFmtId="9" fontId="69" fillId="0" borderId="5" xfId="0" applyNumberFormat="1" applyFont="1" applyFill="1" applyBorder="1" applyAlignment="1" applyProtection="1">
      <alignment horizontal="left" vertical="center"/>
    </xf>
    <xf numFmtId="0" fontId="29" fillId="0" borderId="5" xfId="0" applyFont="1" applyFill="1" applyBorder="1" applyAlignment="1" applyProtection="1">
      <alignment vertical="center"/>
    </xf>
    <xf numFmtId="9" fontId="69" fillId="0" borderId="9" xfId="0" applyNumberFormat="1" applyFont="1" applyFill="1" applyBorder="1" applyAlignment="1" applyProtection="1">
      <alignment horizontal="left" vertical="center"/>
    </xf>
    <xf numFmtId="0" fontId="29" fillId="0" borderId="1" xfId="0" applyFont="1" applyFill="1" applyBorder="1" applyAlignment="1" applyProtection="1">
      <alignment vertical="center"/>
    </xf>
    <xf numFmtId="0" fontId="96" fillId="0" borderId="6" xfId="0" applyFont="1" applyFill="1" applyBorder="1" applyAlignment="1" applyProtection="1">
      <alignment vertical="center"/>
    </xf>
    <xf numFmtId="0" fontId="96" fillId="0" borderId="5" xfId="0" applyFont="1" applyFill="1" applyBorder="1" applyAlignment="1" applyProtection="1">
      <alignment vertical="center"/>
    </xf>
    <xf numFmtId="164" fontId="0" fillId="2" borderId="0" xfId="4" applyNumberFormat="1" applyFont="1" applyFill="1"/>
    <xf numFmtId="3" fontId="0" fillId="3" borderId="0" xfId="0" applyNumberFormat="1" applyFill="1"/>
    <xf numFmtId="164" fontId="0" fillId="3" borderId="0" xfId="2" applyNumberFormat="1" applyFont="1" applyFill="1"/>
    <xf numFmtId="164" fontId="3" fillId="2" borderId="0" xfId="0" applyNumberFormat="1" applyFont="1" applyFill="1"/>
    <xf numFmtId="9" fontId="77" fillId="0" borderId="0" xfId="0" applyNumberFormat="1" applyFont="1" applyFill="1" applyBorder="1" applyAlignment="1" applyProtection="1">
      <alignment horizontal="center" vertical="center"/>
      <protection locked="0"/>
    </xf>
    <xf numFmtId="9" fontId="66" fillId="0" borderId="0" xfId="0" applyNumberFormat="1" applyFont="1" applyFill="1" applyAlignment="1" applyProtection="1">
      <alignment horizontal="center" vertical="center"/>
    </xf>
    <xf numFmtId="9" fontId="0" fillId="0" borderId="0" xfId="0" applyNumberFormat="1" applyFill="1" applyBorder="1"/>
    <xf numFmtId="164" fontId="0" fillId="0" borderId="0" xfId="2" applyNumberFormat="1" applyFont="1" applyFill="1"/>
    <xf numFmtId="164" fontId="97" fillId="0" borderId="0" xfId="2" applyNumberFormat="1" applyFont="1" applyFill="1" applyAlignment="1" applyProtection="1">
      <alignment horizontal="center" vertical="center"/>
    </xf>
    <xf numFmtId="3" fontId="0" fillId="9" borderId="0" xfId="0" applyNumberFormat="1" applyFill="1" applyBorder="1"/>
    <xf numFmtId="3" fontId="0" fillId="3" borderId="11" xfId="0" applyNumberFormat="1" applyFill="1" applyBorder="1"/>
    <xf numFmtId="0" fontId="66" fillId="33" borderId="0" xfId="0" applyFont="1" applyFill="1" applyAlignment="1" applyProtection="1">
      <alignment vertical="center"/>
    </xf>
    <xf numFmtId="9" fontId="66" fillId="33" borderId="0" xfId="0" applyNumberFormat="1" applyFont="1" applyFill="1" applyAlignment="1" applyProtection="1">
      <alignment horizontal="center" vertical="center"/>
    </xf>
    <xf numFmtId="0" fontId="66" fillId="33" borderId="0" xfId="0" applyFont="1" applyFill="1" applyBorder="1" applyAlignment="1" applyProtection="1">
      <alignment vertical="center"/>
    </xf>
    <xf numFmtId="164" fontId="31" fillId="33" borderId="12" xfId="2" applyNumberFormat="1" applyFont="1" applyFill="1" applyBorder="1" applyAlignment="1" applyProtection="1">
      <alignment horizontal="center" vertical="center"/>
    </xf>
    <xf numFmtId="164" fontId="31" fillId="33" borderId="0" xfId="2" applyNumberFormat="1" applyFont="1" applyFill="1" applyAlignment="1" applyProtection="1">
      <alignment horizontal="center" vertical="center"/>
    </xf>
    <xf numFmtId="164" fontId="0" fillId="3" borderId="0" xfId="2" applyNumberFormat="1" applyFont="1" applyFill="1" applyBorder="1"/>
    <xf numFmtId="164" fontId="0" fillId="3" borderId="10" xfId="2" applyNumberFormat="1" applyFont="1" applyFill="1" applyBorder="1"/>
    <xf numFmtId="0" fontId="29" fillId="0" borderId="6" xfId="0" applyFont="1" applyBorder="1" applyAlignment="1" applyProtection="1">
      <alignment vertical="center"/>
    </xf>
    <xf numFmtId="0" fontId="29" fillId="0" borderId="7" xfId="0" applyFont="1" applyBorder="1" applyAlignment="1" applyProtection="1">
      <alignment vertical="center"/>
    </xf>
    <xf numFmtId="0" fontId="30" fillId="0" borderId="7" xfId="0" applyFont="1" applyBorder="1" applyAlignment="1" applyProtection="1">
      <alignment vertical="center"/>
    </xf>
    <xf numFmtId="0" fontId="30" fillId="0" borderId="8" xfId="0" applyFont="1" applyBorder="1" applyAlignment="1" applyProtection="1">
      <alignment vertical="center"/>
    </xf>
    <xf numFmtId="0" fontId="29" fillId="0" borderId="5" xfId="0" applyFont="1" applyBorder="1" applyAlignment="1">
      <alignment vertical="center"/>
    </xf>
    <xf numFmtId="0" fontId="29" fillId="0" borderId="0" xfId="0" applyFont="1" applyAlignment="1">
      <alignment vertical="center"/>
    </xf>
    <xf numFmtId="0" fontId="29" fillId="0" borderId="10" xfId="0" applyFont="1" applyBorder="1" applyAlignment="1">
      <alignment vertical="center"/>
    </xf>
    <xf numFmtId="0" fontId="96" fillId="0" borderId="5" xfId="0" applyFont="1" applyBorder="1" applyAlignment="1">
      <alignment vertical="center"/>
    </xf>
    <xf numFmtId="9" fontId="69" fillId="0" borderId="9" xfId="0" applyNumberFormat="1" applyFont="1" applyBorder="1" applyAlignment="1">
      <alignment horizontal="left" vertical="center"/>
    </xf>
    <xf numFmtId="0" fontId="29" fillId="0" borderId="1" xfId="0" applyFont="1" applyBorder="1" applyAlignment="1">
      <alignment vertical="center"/>
    </xf>
    <xf numFmtId="0" fontId="29" fillId="0" borderId="11" xfId="0" applyFont="1" applyBorder="1" applyAlignment="1">
      <alignment vertical="center"/>
    </xf>
    <xf numFmtId="0" fontId="70" fillId="0" borderId="0" xfId="0" applyFont="1" applyAlignment="1">
      <alignment vertical="center"/>
    </xf>
    <xf numFmtId="0" fontId="96" fillId="0" borderId="6" xfId="0" applyFont="1" applyBorder="1" applyAlignment="1">
      <alignment vertical="center"/>
    </xf>
    <xf numFmtId="0" fontId="29" fillId="0" borderId="7" xfId="0" applyFont="1" applyBorder="1" applyAlignment="1">
      <alignment vertical="center"/>
    </xf>
    <xf numFmtId="0" fontId="29" fillId="0" borderId="8" xfId="0" applyFont="1" applyBorder="1" applyAlignment="1">
      <alignment vertical="center"/>
    </xf>
    <xf numFmtId="9" fontId="69" fillId="0" borderId="5" xfId="0" applyNumberFormat="1" applyFont="1" applyBorder="1" applyAlignment="1">
      <alignment horizontal="left" vertical="center"/>
    </xf>
    <xf numFmtId="0" fontId="29" fillId="0" borderId="0" xfId="0" applyFont="1" applyBorder="1" applyAlignment="1">
      <alignment vertical="center"/>
    </xf>
    <xf numFmtId="3" fontId="1" fillId="0" borderId="0" xfId="0" applyNumberFormat="1" applyFont="1"/>
    <xf numFmtId="0" fontId="1" fillId="0" borderId="0" xfId="0" applyFont="1" applyAlignment="1">
      <alignment horizontal="right"/>
    </xf>
    <xf numFmtId="0" fontId="72" fillId="0" borderId="0" xfId="0" applyFont="1" applyFill="1" applyAlignment="1" applyProtection="1">
      <alignment horizontal="left" vertical="center"/>
    </xf>
    <xf numFmtId="9" fontId="75" fillId="0" borderId="0" xfId="0" applyNumberFormat="1" applyFont="1" applyFill="1" applyAlignment="1" applyProtection="1">
      <alignment horizontal="center" vertical="center"/>
    </xf>
    <xf numFmtId="9" fontId="72" fillId="0" borderId="0" xfId="0" applyNumberFormat="1" applyFont="1" applyFill="1" applyAlignment="1" applyProtection="1">
      <alignment horizontal="center" vertical="center"/>
    </xf>
    <xf numFmtId="0" fontId="98" fillId="0" borderId="0" xfId="0" applyFont="1" applyFill="1"/>
    <xf numFmtId="0" fontId="99" fillId="0" borderId="0" xfId="0" applyFont="1"/>
    <xf numFmtId="0" fontId="98" fillId="0" borderId="14" xfId="0" applyFont="1" applyFill="1" applyBorder="1" applyAlignment="1">
      <alignment vertical="center" wrapText="1"/>
    </xf>
    <xf numFmtId="0" fontId="98" fillId="0" borderId="4" xfId="0" applyFont="1" applyFill="1" applyBorder="1" applyAlignment="1">
      <alignment horizontal="center" vertical="center"/>
    </xf>
    <xf numFmtId="0" fontId="98" fillId="0" borderId="3" xfId="0" applyFont="1" applyFill="1" applyBorder="1" applyAlignment="1">
      <alignment horizontal="center" vertical="center"/>
    </xf>
    <xf numFmtId="0" fontId="98" fillId="0" borderId="0" xfId="0" applyFont="1" applyAlignment="1">
      <alignment horizontal="center"/>
    </xf>
    <xf numFmtId="0" fontId="99" fillId="0" borderId="6" xfId="0" applyFont="1" applyBorder="1"/>
    <xf numFmtId="3" fontId="99" fillId="0" borderId="7" xfId="0" applyNumberFormat="1" applyFont="1" applyBorder="1"/>
    <xf numFmtId="0" fontId="99" fillId="0" borderId="12" xfId="0" applyFont="1" applyBorder="1"/>
    <xf numFmtId="3" fontId="99" fillId="0" borderId="0" xfId="0" applyNumberFormat="1" applyFont="1" applyFill="1"/>
    <xf numFmtId="0" fontId="99" fillId="0" borderId="5" xfId="0" applyFont="1" applyBorder="1"/>
    <xf numFmtId="3" fontId="99" fillId="0" borderId="0" xfId="0" applyNumberFormat="1" applyFont="1" applyBorder="1"/>
    <xf numFmtId="0" fontId="99" fillId="0" borderId="9" xfId="0" applyFont="1" applyBorder="1"/>
    <xf numFmtId="3" fontId="99" fillId="0" borderId="1" xfId="0" applyNumberFormat="1" applyFont="1" applyBorder="1"/>
    <xf numFmtId="0" fontId="99" fillId="0" borderId="16" xfId="0" applyFont="1" applyBorder="1"/>
    <xf numFmtId="0" fontId="99" fillId="0" borderId="0" xfId="0" applyFont="1" applyBorder="1"/>
    <xf numFmtId="0" fontId="99" fillId="0" borderId="5" xfId="0" applyFont="1" applyFill="1" applyBorder="1"/>
    <xf numFmtId="165" fontId="99" fillId="0" borderId="0" xfId="1" applyNumberFormat="1" applyFont="1"/>
    <xf numFmtId="3" fontId="99" fillId="0" borderId="0" xfId="0" applyNumberFormat="1" applyFont="1"/>
    <xf numFmtId="0" fontId="98" fillId="0" borderId="14" xfId="0" applyFont="1" applyFill="1" applyBorder="1" applyAlignment="1">
      <alignment horizontal="center" vertical="center" wrapText="1"/>
    </xf>
    <xf numFmtId="0" fontId="98" fillId="0" borderId="4" xfId="0" applyFont="1" applyFill="1" applyBorder="1" applyAlignment="1">
      <alignment horizontal="center" vertical="center" wrapText="1"/>
    </xf>
    <xf numFmtId="0" fontId="98" fillId="0" borderId="2" xfId="0" applyFont="1" applyFill="1" applyBorder="1" applyAlignment="1">
      <alignment horizontal="center" vertical="center"/>
    </xf>
    <xf numFmtId="0" fontId="98" fillId="0" borderId="0" xfId="0" applyFont="1" applyAlignment="1">
      <alignment horizontal="center" vertical="center" wrapText="1"/>
    </xf>
    <xf numFmtId="0" fontId="99" fillId="0" borderId="6" xfId="0" applyFont="1" applyBorder="1" applyAlignment="1">
      <alignment vertical="center" wrapText="1"/>
    </xf>
    <xf numFmtId="3" fontId="99" fillId="0" borderId="7" xfId="0" applyNumberFormat="1" applyFont="1" applyBorder="1" applyAlignment="1">
      <alignment vertical="center" wrapText="1"/>
    </xf>
    <xf numFmtId="3" fontId="98" fillId="3" borderId="7" xfId="0" applyNumberFormat="1" applyFont="1" applyFill="1" applyBorder="1" applyAlignment="1">
      <alignment vertical="center" wrapText="1"/>
    </xf>
    <xf numFmtId="0" fontId="99" fillId="0" borderId="15" xfId="0" applyFont="1" applyBorder="1" applyAlignment="1">
      <alignment vertical="center"/>
    </xf>
    <xf numFmtId="0" fontId="99" fillId="0" borderId="0" xfId="0" applyFont="1" applyAlignment="1">
      <alignment vertical="center" wrapText="1"/>
    </xf>
    <xf numFmtId="0" fontId="98" fillId="0" borderId="0" xfId="0" applyFont="1"/>
    <xf numFmtId="0" fontId="100" fillId="0" borderId="13" xfId="0" applyFont="1" applyBorder="1" applyAlignment="1">
      <alignment horizontal="center"/>
    </xf>
    <xf numFmtId="3" fontId="99" fillId="0" borderId="0" xfId="2" applyNumberFormat="1" applyFont="1" applyFill="1"/>
    <xf numFmtId="0" fontId="100" fillId="0" borderId="0" xfId="0" applyFont="1"/>
    <xf numFmtId="3" fontId="100" fillId="0" borderId="0" xfId="0" applyNumberFormat="1" applyFont="1" applyFill="1"/>
    <xf numFmtId="3" fontId="100" fillId="0" borderId="0" xfId="2" applyNumberFormat="1" applyFont="1" applyFill="1"/>
    <xf numFmtId="3" fontId="100" fillId="0" borderId="0" xfId="0" applyNumberFormat="1" applyFont="1"/>
    <xf numFmtId="0" fontId="99" fillId="0" borderId="0" xfId="0" applyFont="1" applyAlignment="1">
      <alignment horizontal="center"/>
    </xf>
    <xf numFmtId="0" fontId="99" fillId="0" borderId="13" xfId="0" applyFont="1" applyBorder="1" applyAlignment="1">
      <alignment horizontal="center"/>
    </xf>
    <xf numFmtId="2" fontId="99" fillId="0" borderId="0" xfId="0" applyNumberFormat="1" applyFont="1"/>
    <xf numFmtId="0" fontId="99" fillId="0" borderId="13" xfId="0" applyFont="1" applyBorder="1"/>
    <xf numFmtId="0" fontId="99" fillId="0" borderId="13" xfId="0" applyFont="1" applyBorder="1" applyAlignment="1">
      <alignment wrapText="1"/>
    </xf>
    <xf numFmtId="0" fontId="99" fillId="0" borderId="13" xfId="0" applyFont="1" applyFill="1" applyBorder="1" applyAlignment="1">
      <alignment wrapText="1"/>
    </xf>
    <xf numFmtId="3" fontId="99" fillId="0" borderId="0" xfId="2" applyNumberFormat="1" applyFont="1"/>
    <xf numFmtId="164" fontId="99" fillId="0" borderId="0" xfId="2" applyNumberFormat="1" applyFont="1"/>
    <xf numFmtId="9" fontId="99" fillId="0" borderId="0" xfId="1" applyFont="1"/>
    <xf numFmtId="164" fontId="99" fillId="0" borderId="0" xfId="2" applyNumberFormat="1" applyFont="1" applyFill="1"/>
    <xf numFmtId="164" fontId="99" fillId="0" borderId="0" xfId="0" applyNumberFormat="1" applyFont="1"/>
    <xf numFmtId="9" fontId="99" fillId="0" borderId="0" xfId="0" applyNumberFormat="1" applyFont="1"/>
    <xf numFmtId="43" fontId="99" fillId="0" borderId="0" xfId="0" applyNumberFormat="1" applyFont="1"/>
    <xf numFmtId="0" fontId="100" fillId="0" borderId="13" xfId="0" applyFont="1" applyBorder="1" applyAlignment="1">
      <alignment horizontal="center" vertical="center"/>
    </xf>
    <xf numFmtId="0" fontId="99" fillId="0" borderId="13" xfId="0" applyFont="1" applyBorder="1" applyAlignment="1">
      <alignment vertical="center"/>
    </xf>
    <xf numFmtId="0" fontId="99" fillId="0" borderId="13" xfId="0" applyFont="1" applyBorder="1" applyAlignment="1">
      <alignment vertical="center" wrapText="1"/>
    </xf>
    <xf numFmtId="0" fontId="99" fillId="0" borderId="13" xfId="0" applyFont="1" applyFill="1" applyBorder="1" applyAlignment="1">
      <alignment vertical="center" wrapText="1"/>
    </xf>
    <xf numFmtId="0" fontId="99" fillId="0" borderId="0" xfId="0" applyFont="1" applyAlignment="1">
      <alignment vertical="center"/>
    </xf>
    <xf numFmtId="3" fontId="99" fillId="16" borderId="0" xfId="0" applyNumberFormat="1" applyFont="1" applyFill="1"/>
    <xf numFmtId="9" fontId="99" fillId="16" borderId="0" xfId="1" applyFont="1" applyFill="1"/>
    <xf numFmtId="164" fontId="99" fillId="16" borderId="0" xfId="0" applyNumberFormat="1" applyFont="1" applyFill="1"/>
    <xf numFmtId="0" fontId="99" fillId="16" borderId="0" xfId="0" applyFont="1" applyFill="1"/>
    <xf numFmtId="43" fontId="99" fillId="0" borderId="0" xfId="2" applyNumberFormat="1" applyFont="1"/>
    <xf numFmtId="164" fontId="0" fillId="34" borderId="0" xfId="2" applyNumberFormat="1" applyFont="1" applyFill="1"/>
    <xf numFmtId="3" fontId="0" fillId="34" borderId="0" xfId="0" applyNumberFormat="1" applyFill="1"/>
    <xf numFmtId="0" fontId="104" fillId="0" borderId="13" xfId="0" applyFont="1" applyBorder="1" applyAlignment="1">
      <alignment horizontal="center"/>
    </xf>
    <xf numFmtId="9" fontId="78" fillId="0" borderId="0" xfId="0" applyNumberFormat="1" applyFont="1" applyAlignment="1" applyProtection="1">
      <alignment vertical="center"/>
    </xf>
    <xf numFmtId="0" fontId="78" fillId="0" borderId="0" xfId="0" applyFont="1" applyAlignment="1" applyProtection="1">
      <alignment horizontal="center" vertical="center"/>
    </xf>
    <xf numFmtId="9" fontId="77" fillId="24" borderId="17" xfId="0" applyNumberFormat="1" applyFont="1" applyFill="1" applyBorder="1" applyAlignment="1" applyProtection="1">
      <alignment horizontal="left" vertical="center"/>
      <protection locked="0"/>
    </xf>
    <xf numFmtId="0" fontId="99" fillId="0" borderId="1" xfId="0" applyFont="1" applyBorder="1" applyAlignment="1">
      <alignment vertical="center"/>
    </xf>
    <xf numFmtId="0" fontId="99" fillId="0" borderId="1" xfId="0" applyFont="1" applyBorder="1" applyAlignment="1">
      <alignment wrapText="1"/>
    </xf>
    <xf numFmtId="164" fontId="29" fillId="0" borderId="0" xfId="0" applyNumberFormat="1" applyFont="1" applyAlignment="1" applyProtection="1">
      <alignment horizontal="right" vertical="center"/>
    </xf>
    <xf numFmtId="1" fontId="29" fillId="0" borderId="0" xfId="0" applyNumberFormat="1" applyFont="1" applyAlignment="1" applyProtection="1">
      <alignment horizontal="right" vertical="center"/>
    </xf>
    <xf numFmtId="164" fontId="0" fillId="13" borderId="0" xfId="2" applyNumberFormat="1" applyFont="1" applyFill="1"/>
    <xf numFmtId="164" fontId="0" fillId="23" borderId="0" xfId="2" applyNumberFormat="1" applyFont="1" applyFill="1"/>
    <xf numFmtId="164" fontId="0" fillId="20" borderId="0" xfId="2" applyNumberFormat="1" applyFont="1" applyFill="1"/>
    <xf numFmtId="164" fontId="0" fillId="35" borderId="0" xfId="2" applyNumberFormat="1" applyFont="1" applyFill="1"/>
    <xf numFmtId="0" fontId="3" fillId="0" borderId="0" xfId="2" applyNumberFormat="1" applyFont="1"/>
    <xf numFmtId="43" fontId="0" fillId="0" borderId="0" xfId="2" applyFont="1"/>
    <xf numFmtId="9" fontId="0" fillId="0" borderId="0" xfId="1" applyFont="1" applyFill="1"/>
    <xf numFmtId="9" fontId="32" fillId="0" borderId="12" xfId="1" applyFont="1" applyFill="1" applyBorder="1" applyAlignment="1" applyProtection="1">
      <alignment horizontal="right" vertical="center"/>
    </xf>
    <xf numFmtId="0" fontId="0" fillId="0" borderId="18" xfId="0" applyBorder="1"/>
    <xf numFmtId="0" fontId="3" fillId="0" borderId="19" xfId="2" applyNumberFormat="1" applyFont="1" applyBorder="1"/>
    <xf numFmtId="0" fontId="0" fillId="0" borderId="20" xfId="0" applyBorder="1"/>
    <xf numFmtId="3" fontId="0" fillId="0" borderId="21" xfId="0" applyNumberFormat="1" applyBorder="1"/>
    <xf numFmtId="0" fontId="0" fillId="0" borderId="21" xfId="0" applyBorder="1"/>
    <xf numFmtId="0" fontId="0" fillId="13" borderId="20" xfId="0" applyFill="1" applyBorder="1"/>
    <xf numFmtId="3" fontId="0" fillId="13" borderId="21" xfId="0" applyNumberFormat="1" applyFill="1" applyBorder="1"/>
    <xf numFmtId="0" fontId="0" fillId="23" borderId="20" xfId="0" applyFill="1" applyBorder="1"/>
    <xf numFmtId="3" fontId="0" fillId="23" borderId="21" xfId="0" applyNumberFormat="1" applyFill="1" applyBorder="1"/>
    <xf numFmtId="0" fontId="0" fillId="20" borderId="20" xfId="0" applyFill="1" applyBorder="1"/>
    <xf numFmtId="3" fontId="0" fillId="20" borderId="21" xfId="0" applyNumberFormat="1" applyFill="1" applyBorder="1"/>
    <xf numFmtId="0" fontId="0" fillId="35" borderId="20" xfId="0" applyFill="1" applyBorder="1"/>
    <xf numFmtId="3" fontId="0" fillId="35" borderId="21" xfId="0" applyNumberFormat="1" applyFill="1" applyBorder="1"/>
    <xf numFmtId="0" fontId="0" fillId="3" borderId="22" xfId="0" applyFill="1" applyBorder="1"/>
    <xf numFmtId="3" fontId="0" fillId="3" borderId="23" xfId="0" applyNumberFormat="1" applyFill="1" applyBorder="1"/>
    <xf numFmtId="164" fontId="0" fillId="0" borderId="18" xfId="2" applyNumberFormat="1" applyFont="1" applyBorder="1"/>
    <xf numFmtId="0" fontId="0" fillId="0" borderId="19" xfId="0" applyBorder="1"/>
    <xf numFmtId="164" fontId="3" fillId="0" borderId="20" xfId="2" applyNumberFormat="1" applyFont="1" applyBorder="1"/>
    <xf numFmtId="164" fontId="0" fillId="0" borderId="20" xfId="2" applyNumberFormat="1" applyFont="1" applyBorder="1"/>
    <xf numFmtId="164" fontId="0" fillId="0" borderId="21" xfId="0" applyNumberFormat="1" applyBorder="1"/>
    <xf numFmtId="9" fontId="0" fillId="0" borderId="21" xfId="1" applyFont="1" applyBorder="1"/>
    <xf numFmtId="164" fontId="0" fillId="0" borderId="22" xfId="2" applyNumberFormat="1" applyFont="1" applyBorder="1"/>
    <xf numFmtId="0" fontId="0" fillId="0" borderId="23" xfId="0" applyBorder="1"/>
    <xf numFmtId="3" fontId="0" fillId="0" borderId="18" xfId="0" applyNumberFormat="1" applyBorder="1"/>
    <xf numFmtId="0" fontId="3" fillId="0" borderId="24" xfId="2" applyNumberFormat="1" applyFont="1" applyBorder="1"/>
    <xf numFmtId="0" fontId="0" fillId="0" borderId="19" xfId="0" applyBorder="1" applyAlignment="1">
      <alignment wrapText="1"/>
    </xf>
    <xf numFmtId="164" fontId="0" fillId="13" borderId="0" xfId="2" applyNumberFormat="1" applyFont="1" applyFill="1" applyBorder="1"/>
    <xf numFmtId="164" fontId="0" fillId="23" borderId="0" xfId="2" applyNumberFormat="1" applyFont="1" applyFill="1" applyBorder="1"/>
    <xf numFmtId="164" fontId="0" fillId="20" borderId="0" xfId="2" applyNumberFormat="1" applyFont="1" applyFill="1" applyBorder="1"/>
    <xf numFmtId="164" fontId="0" fillId="35" borderId="0" xfId="2" applyNumberFormat="1" applyFont="1" applyFill="1" applyBorder="1"/>
    <xf numFmtId="0" fontId="0" fillId="3" borderId="20" xfId="0" applyFill="1" applyBorder="1"/>
    <xf numFmtId="164" fontId="0" fillId="0" borderId="0" xfId="2" applyNumberFormat="1" applyFont="1" applyBorder="1"/>
    <xf numFmtId="0" fontId="0" fillId="0" borderId="22" xfId="0" applyBorder="1"/>
    <xf numFmtId="9" fontId="0" fillId="0" borderId="13" xfId="1" applyFont="1" applyBorder="1"/>
    <xf numFmtId="164" fontId="0" fillId="0" borderId="20" xfId="2" applyNumberFormat="1" applyFont="1" applyFill="1" applyBorder="1"/>
    <xf numFmtId="0" fontId="0" fillId="0" borderId="24" xfId="0" applyBorder="1"/>
    <xf numFmtId="164" fontId="0" fillId="0" borderId="0" xfId="0" applyNumberFormat="1" applyBorder="1"/>
    <xf numFmtId="0" fontId="3" fillId="0" borderId="20" xfId="0" applyFont="1" applyBorder="1"/>
    <xf numFmtId="0" fontId="3" fillId="0" borderId="22" xfId="0" applyFont="1" applyBorder="1"/>
    <xf numFmtId="0" fontId="3" fillId="0" borderId="24" xfId="0" applyFont="1" applyBorder="1"/>
    <xf numFmtId="43" fontId="0" fillId="2" borderId="13" xfId="0" applyNumberFormat="1" applyFill="1" applyBorder="1"/>
    <xf numFmtId="3" fontId="0" fillId="2" borderId="23" xfId="0" applyNumberFormat="1" applyFill="1" applyBorder="1"/>
    <xf numFmtId="9" fontId="0" fillId="2" borderId="21" xfId="1" applyFont="1" applyFill="1" applyBorder="1"/>
    <xf numFmtId="9" fontId="0" fillId="2" borderId="23" xfId="1" applyFont="1" applyFill="1" applyBorder="1"/>
    <xf numFmtId="0" fontId="0" fillId="2" borderId="21" xfId="0" applyFill="1" applyBorder="1"/>
    <xf numFmtId="0" fontId="3" fillId="0" borderId="24" xfId="0" applyFont="1" applyBorder="1" applyAlignment="1">
      <alignment horizontal="center"/>
    </xf>
    <xf numFmtId="0" fontId="3" fillId="0" borderId="19" xfId="0" applyFont="1" applyBorder="1" applyAlignment="1">
      <alignment wrapText="1"/>
    </xf>
    <xf numFmtId="164" fontId="0" fillId="0" borderId="13" xfId="0" applyNumberFormat="1" applyBorder="1"/>
    <xf numFmtId="0" fontId="3" fillId="0" borderId="18" xfId="0" applyFont="1" applyBorder="1" applyAlignment="1">
      <alignment wrapText="1"/>
    </xf>
    <xf numFmtId="0" fontId="0" fillId="0" borderId="25" xfId="0" applyBorder="1"/>
    <xf numFmtId="0" fontId="0" fillId="0" borderId="26" xfId="0" applyBorder="1"/>
    <xf numFmtId="9" fontId="0" fillId="0" borderId="17" xfId="0" applyNumberFormat="1" applyBorder="1"/>
    <xf numFmtId="0" fontId="3" fillId="0" borderId="27" xfId="0" applyFont="1" applyBorder="1"/>
    <xf numFmtId="0" fontId="3" fillId="0" borderId="28" xfId="0" applyFont="1" applyBorder="1"/>
    <xf numFmtId="0" fontId="3" fillId="0" borderId="29" xfId="2" applyNumberFormat="1" applyFont="1" applyBorder="1"/>
    <xf numFmtId="0" fontId="3" fillId="0" borderId="30" xfId="0" applyFont="1" applyBorder="1"/>
    <xf numFmtId="3" fontId="0" fillId="0" borderId="2" xfId="0" applyNumberFormat="1" applyBorder="1"/>
    <xf numFmtId="3" fontId="0" fillId="0" borderId="31" xfId="0" applyNumberFormat="1" applyBorder="1"/>
    <xf numFmtId="0" fontId="3" fillId="0" borderId="32" xfId="0" applyFont="1" applyBorder="1"/>
    <xf numFmtId="3" fontId="0" fillId="0" borderId="15" xfId="0" applyNumberFormat="1" applyBorder="1"/>
    <xf numFmtId="3" fontId="0" fillId="0" borderId="33" xfId="0" applyNumberFormat="1" applyBorder="1"/>
    <xf numFmtId="0" fontId="3" fillId="0" borderId="34" xfId="0" applyFont="1" applyBorder="1"/>
    <xf numFmtId="43" fontId="0" fillId="0" borderId="35" xfId="0" applyNumberFormat="1" applyBorder="1"/>
    <xf numFmtId="3" fontId="0" fillId="0" borderId="36" xfId="0" applyNumberFormat="1" applyBorder="1"/>
    <xf numFmtId="3" fontId="0" fillId="0" borderId="31" xfId="0" applyNumberFormat="1" applyBorder="1" applyAlignment="1">
      <alignment horizontal="left"/>
    </xf>
    <xf numFmtId="0" fontId="0" fillId="0" borderId="30" xfId="0" applyBorder="1" applyAlignment="1">
      <alignment horizontal="right"/>
    </xf>
    <xf numFmtId="164" fontId="0" fillId="0" borderId="31" xfId="0" applyNumberFormat="1" applyBorder="1"/>
    <xf numFmtId="0" fontId="3" fillId="0" borderId="30" xfId="0" applyFont="1" applyBorder="1" applyAlignment="1">
      <alignment horizontal="right"/>
    </xf>
    <xf numFmtId="3" fontId="3" fillId="0" borderId="31" xfId="0" applyNumberFormat="1" applyFont="1" applyBorder="1"/>
    <xf numFmtId="164" fontId="0" fillId="0" borderId="31" xfId="2" applyNumberFormat="1" applyFont="1" applyFill="1" applyBorder="1"/>
    <xf numFmtId="164" fontId="3" fillId="0" borderId="31" xfId="0" applyNumberFormat="1" applyFont="1" applyBorder="1"/>
    <xf numFmtId="0" fontId="3" fillId="0" borderId="37" xfId="0" applyFont="1" applyBorder="1" applyAlignment="1">
      <alignment horizontal="right"/>
    </xf>
    <xf numFmtId="3" fontId="3" fillId="0" borderId="38" xfId="0" applyNumberFormat="1" applyFont="1" applyBorder="1"/>
    <xf numFmtId="164" fontId="3" fillId="0" borderId="0" xfId="2" applyNumberFormat="1" applyFont="1"/>
    <xf numFmtId="0" fontId="3" fillId="0" borderId="0" xfId="2" applyNumberFormat="1" applyFont="1" applyBorder="1"/>
    <xf numFmtId="9" fontId="0" fillId="0" borderId="0" xfId="1" applyFont="1" applyBorder="1"/>
    <xf numFmtId="3" fontId="0" fillId="0" borderId="0" xfId="0" applyNumberFormat="1" applyBorder="1" applyAlignment="1">
      <alignment horizontal="left"/>
    </xf>
    <xf numFmtId="3" fontId="3" fillId="0" borderId="0" xfId="0" applyNumberFormat="1" applyFont="1" applyBorder="1"/>
    <xf numFmtId="164" fontId="0" fillId="0" borderId="0" xfId="2" applyNumberFormat="1" applyFont="1" applyFill="1" applyBorder="1"/>
    <xf numFmtId="164" fontId="3" fillId="0" borderId="0" xfId="0" applyNumberFormat="1" applyFont="1" applyBorder="1"/>
    <xf numFmtId="0" fontId="0" fillId="0" borderId="0" xfId="0" applyBorder="1" applyAlignment="1">
      <alignment wrapText="1"/>
    </xf>
    <xf numFmtId="43" fontId="0" fillId="0" borderId="20" xfId="0" applyNumberFormat="1" applyBorder="1"/>
    <xf numFmtId="43" fontId="0" fillId="0" borderId="22" xfId="0" applyNumberFormat="1" applyBorder="1"/>
    <xf numFmtId="0" fontId="3" fillId="0" borderId="18" xfId="0" applyFont="1" applyBorder="1"/>
    <xf numFmtId="0" fontId="3" fillId="0" borderId="19" xfId="0" applyFont="1" applyBorder="1"/>
    <xf numFmtId="0" fontId="0" fillId="0" borderId="13" xfId="0" applyBorder="1"/>
    <xf numFmtId="3" fontId="0" fillId="0" borderId="23" xfId="0" applyNumberFormat="1" applyBorder="1"/>
    <xf numFmtId="164" fontId="0" fillId="2" borderId="0" xfId="2" applyNumberFormat="1" applyFont="1" applyFill="1" applyBorder="1"/>
    <xf numFmtId="164" fontId="0" fillId="0" borderId="21" xfId="2" applyNumberFormat="1" applyFont="1" applyBorder="1"/>
    <xf numFmtId="164" fontId="0" fillId="0" borderId="13" xfId="2" applyNumberFormat="1" applyFont="1" applyBorder="1"/>
    <xf numFmtId="164" fontId="0" fillId="0" borderId="23" xfId="2" applyNumberFormat="1" applyFont="1" applyBorder="1"/>
    <xf numFmtId="0" fontId="3" fillId="0" borderId="0" xfId="0" applyFont="1" applyAlignment="1">
      <alignment horizontal="center"/>
    </xf>
    <xf numFmtId="0" fontId="0" fillId="0" borderId="0" xfId="0" applyAlignment="1">
      <alignment horizontal="left" vertical="top" wrapText="1"/>
    </xf>
    <xf numFmtId="0" fontId="10" fillId="0" borderId="0" xfId="3" applyFont="1" applyAlignment="1">
      <alignment horizontal="center"/>
    </xf>
    <xf numFmtId="0" fontId="10" fillId="0" borderId="0" xfId="3" applyFont="1" applyAlignment="1">
      <alignment wrapText="1"/>
    </xf>
    <xf numFmtId="0" fontId="9" fillId="0" borderId="0" xfId="3" applyAlignment="1">
      <alignment wrapText="1"/>
    </xf>
    <xf numFmtId="0" fontId="3" fillId="0" borderId="0" xfId="12" applyFont="1" applyAlignment="1">
      <alignment horizontal="center" vertical="center" wrapText="1"/>
    </xf>
    <xf numFmtId="0" fontId="7" fillId="6" borderId="0" xfId="0" applyFont="1" applyFill="1" applyAlignment="1">
      <alignment horizontal="center"/>
    </xf>
    <xf numFmtId="0" fontId="3" fillId="3" borderId="0" xfId="0" applyFont="1" applyFill="1"/>
    <xf numFmtId="0" fontId="0" fillId="0" borderId="0" xfId="0" applyAlignment="1">
      <alignment horizontal="center"/>
    </xf>
  </cellXfs>
  <cellStyles count="15">
    <cellStyle name="Comma" xfId="2" builtinId="3"/>
    <cellStyle name="Comma 2" xfId="4" xr:uid="{638AF5CB-E058-1447-9D1A-07EF022A2B45}"/>
    <cellStyle name="Comma 2 2" xfId="14" xr:uid="{24A3A970-1956-4E4F-B610-3CBA7C06D1B4}"/>
    <cellStyle name="Currency" xfId="11" builtinId="4"/>
    <cellStyle name="Hyperlink" xfId="6" builtinId="8"/>
    <cellStyle name="Hyperlink 2" xfId="7" xr:uid="{72BB0081-589E-684A-8A0D-951546A56E8C}"/>
    <cellStyle name="Normal" xfId="0" builtinId="0"/>
    <cellStyle name="Normal 11" xfId="8" xr:uid="{CF8DBE2A-4FF2-6245-B2FF-91857DDCD2D9}"/>
    <cellStyle name="Normal 2" xfId="3" xr:uid="{B32AC2B6-794C-5A47-B4E2-42EC77E4B1BD}"/>
    <cellStyle name="Normal 2 2" xfId="12" xr:uid="{BC336268-9EEF-B749-9980-251BBE213DFA}"/>
    <cellStyle name="Normal 3" xfId="9" xr:uid="{1C5EDE1C-72AE-7C40-887F-8BBB87FA9661}"/>
    <cellStyle name="Normal 4" xfId="10" xr:uid="{BE664CF7-D833-B64A-B73E-10AFAD6758F1}"/>
    <cellStyle name="Percent" xfId="1" builtinId="5"/>
    <cellStyle name="Percent 2" xfId="5" xr:uid="{7BB89844-0A1B-4D42-898D-9C00DD5B2C57}"/>
    <cellStyle name="Percent 2 2" xfId="13" xr:uid="{53F0B7F3-D736-3949-AD6B-BB3F8DA3BB65}"/>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Avenir Book"/>
        <family val="2"/>
        <scheme val="none"/>
      </font>
      <alignment horizontal="general" vertical="top" textRotation="0" indent="0" justifyLastLine="0" shrinkToFit="0" readingOrder="0"/>
    </dxf>
    <dxf>
      <font>
        <b/>
        <i val="0"/>
        <strike val="0"/>
        <condense val="0"/>
        <extend val="0"/>
        <outline val="0"/>
        <shadow val="0"/>
        <u val="none"/>
        <vertAlign val="baseline"/>
        <sz val="11"/>
        <color theme="1"/>
        <name val="Avenir Book"/>
        <family val="2"/>
        <scheme val="none"/>
      </font>
      <alignment horizontal="general" vertical="top" textRotation="0" indent="0" justifyLastLine="0" shrinkToFit="0" readingOrder="0"/>
    </dxf>
    <dxf>
      <font>
        <b val="0"/>
        <i val="0"/>
        <strike val="0"/>
        <condense val="0"/>
        <extend val="0"/>
        <outline val="0"/>
        <shadow val="0"/>
        <u val="none"/>
        <vertAlign val="baseline"/>
        <sz val="11"/>
        <color theme="1"/>
        <name val="Avenir Book"/>
        <family val="2"/>
        <scheme val="none"/>
      </font>
      <alignment horizontal="general" vertical="top" textRotation="0" indent="0" justifyLastLine="0" shrinkToFit="0" readingOrder="0"/>
    </dxf>
    <dxf>
      <font>
        <b val="0"/>
        <i val="0"/>
        <strike val="0"/>
        <condense val="0"/>
        <extend val="0"/>
        <outline val="0"/>
        <shadow val="0"/>
        <u val="none"/>
        <vertAlign val="baseline"/>
        <sz val="11"/>
        <color theme="0"/>
        <name val="Avenir Book"/>
        <family val="2"/>
        <scheme val="none"/>
      </font>
      <fill>
        <patternFill patternType="solid">
          <fgColor indexed="64"/>
          <bgColor theme="4"/>
        </patternFill>
      </fill>
      <alignment horizontal="center" vertical="center" textRotation="0" wrapText="0" indent="0" justifyLastLine="0" shrinkToFit="0" readingOrder="0"/>
    </dxf>
  </dxfs>
  <tableStyles count="0" defaultTableStyle="TableStyleMedium2" defaultPivotStyle="PivotStyleLight16"/>
  <colors>
    <mruColors>
      <color rgb="FFF1F100"/>
      <color rgb="FFE6C359"/>
      <color rgb="FF305396"/>
      <color rgb="FFB4C6E7"/>
      <color rgb="FF4472C6"/>
      <color rgb="FF4472C5"/>
      <color rgb="FFF5B084"/>
      <color rgb="FF8EA9DB"/>
      <color rgb="FF203664"/>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tx1">
                    <a:lumMod val="65000"/>
                    <a:lumOff val="35000"/>
                  </a:schemeClr>
                </a:solidFill>
                <a:latin typeface="Avenir Book" panose="02000503020000020003" pitchFamily="2" charset="0"/>
                <a:ea typeface="+mn-ea"/>
                <a:cs typeface="+mn-cs"/>
              </a:defRPr>
            </a:pPr>
            <a:r>
              <a:rPr lang="en-US" sz="2200"/>
              <a:t>Portland 2050</a:t>
            </a:r>
            <a:r>
              <a:rPr lang="en-US" sz="2200" baseline="0"/>
              <a:t> </a:t>
            </a:r>
            <a:r>
              <a:rPr lang="en-US" sz="2200"/>
              <a:t>Pathway to Net-Zero</a:t>
            </a:r>
          </a:p>
        </c:rich>
      </c:tx>
      <c:overlay val="0"/>
      <c:spPr>
        <a:noFill/>
        <a:ln>
          <a:noFill/>
        </a:ln>
        <a:effectLst/>
      </c:spPr>
      <c:txPr>
        <a:bodyPr rot="0" spcFirstLastPara="1" vertOverflow="ellipsis" vert="horz" wrap="square" anchor="ctr" anchorCtr="1"/>
        <a:lstStyle/>
        <a:p>
          <a:pPr>
            <a:defRPr sz="2200" b="0" i="0" u="none" strike="noStrike" kern="1200" spc="0" baseline="0">
              <a:solidFill>
                <a:schemeClr val="tx1">
                  <a:lumMod val="65000"/>
                  <a:lumOff val="35000"/>
                </a:schemeClr>
              </a:solidFill>
              <a:latin typeface="Avenir Book" panose="02000503020000020003" pitchFamily="2" charset="0"/>
              <a:ea typeface="+mn-ea"/>
              <a:cs typeface="+mn-cs"/>
            </a:defRPr>
          </a:pPr>
          <a:endParaRPr lang="en-US"/>
        </a:p>
      </c:txPr>
    </c:title>
    <c:autoTitleDeleted val="0"/>
    <c:plotArea>
      <c:layout>
        <c:manualLayout>
          <c:layoutTarget val="inner"/>
          <c:xMode val="edge"/>
          <c:yMode val="edge"/>
          <c:x val="0.16953473759185264"/>
          <c:y val="7.5314674745560153E-2"/>
          <c:w val="0.74907182108933446"/>
          <c:h val="0.51331867112744101"/>
        </c:manualLayout>
      </c:layout>
      <c:areaChart>
        <c:grouping val="stacked"/>
        <c:varyColors val="0"/>
        <c:ser>
          <c:idx val="1"/>
          <c:order val="0"/>
          <c:tx>
            <c:strRef>
              <c:f>'Dashboard - CEW Scenario'!$BU$38</c:f>
              <c:strCache>
                <c:ptCount val="1"/>
                <c:pt idx="0">
                  <c:v>Remaining GHGs</c:v>
                </c:pt>
              </c:strCache>
            </c:strRef>
          </c:tx>
          <c:spPr>
            <a:solidFill>
              <a:schemeClr val="bg2">
                <a:lumMod val="75000"/>
              </a:schemeClr>
            </a:solidFill>
            <a:ln w="15875">
              <a:solidFill>
                <a:schemeClr val="bg1"/>
              </a:solidFill>
            </a:ln>
            <a:effectLst/>
          </c:spPr>
          <c:cat>
            <c:numRef>
              <c:f>'Dashboard - CEW Scenario'!$BY$2:$DC$2</c:f>
              <c:numCache>
                <c:formatCode>General</c:formatCode>
                <c:ptCount val="4"/>
                <c:pt idx="0">
                  <c:v>2020</c:v>
                </c:pt>
                <c:pt idx="1">
                  <c:v>2030</c:v>
                </c:pt>
                <c:pt idx="2">
                  <c:v>2049</c:v>
                </c:pt>
                <c:pt idx="3">
                  <c:v>2050</c:v>
                </c:pt>
              </c:numCache>
            </c:numRef>
          </c:cat>
          <c:val>
            <c:numRef>
              <c:f>'Dashboard - CEW Scenario'!$BY$38:$DC$38</c:f>
              <c:numCache>
                <c:formatCode>#,##0</c:formatCode>
                <c:ptCount val="4"/>
                <c:pt idx="0">
                  <c:v>8880193.8418855593</c:v>
                </c:pt>
                <c:pt idx="1">
                  <c:v>4221072.4941362422</c:v>
                </c:pt>
                <c:pt idx="2">
                  <c:v>189489.83287881315</c:v>
                </c:pt>
                <c:pt idx="3">
                  <c:v>-22698.728240000084</c:v>
                </c:pt>
              </c:numCache>
            </c:numRef>
          </c:val>
          <c:extLst>
            <c:ext xmlns:c16="http://schemas.microsoft.com/office/drawing/2014/chart" uri="{C3380CC4-5D6E-409C-BE32-E72D297353CC}">
              <c16:uniqueId val="{00000000-5A40-CD4D-8FC8-754C1C4A42B5}"/>
            </c:ext>
          </c:extLst>
        </c:ser>
        <c:ser>
          <c:idx val="12"/>
          <c:order val="1"/>
          <c:tx>
            <c:strRef>
              <c:f>'Dashboard - CEW Scenario'!$B$36</c:f>
              <c:strCache>
                <c:ptCount val="1"/>
                <c:pt idx="0">
                  <c:v>Additional Forest Carbon Storage</c:v>
                </c:pt>
              </c:strCache>
            </c:strRef>
          </c:tx>
          <c:spPr>
            <a:solidFill>
              <a:srgbClr val="70AD46"/>
            </a:solidFill>
            <a:ln w="15875">
              <a:solidFill>
                <a:schemeClr val="bg1"/>
              </a:solidFill>
            </a:ln>
            <a:effectLst/>
          </c:spPr>
          <c:val>
            <c:numRef>
              <c:f>'Dashboard - CEW Scenario'!$BY$36:$DC$36</c:f>
              <c:numCache>
                <c:formatCode>_(* #,##0_);_(* \(#,##0\);_(* "-"??_);_(@_)</c:formatCode>
                <c:ptCount val="4"/>
                <c:pt idx="0">
                  <c:v>0</c:v>
                </c:pt>
                <c:pt idx="1">
                  <c:v>0</c:v>
                </c:pt>
                <c:pt idx="2">
                  <c:v>453007.35612677364</c:v>
                </c:pt>
                <c:pt idx="3">
                  <c:v>476849.84855449857</c:v>
                </c:pt>
              </c:numCache>
            </c:numRef>
          </c:val>
          <c:extLst>
            <c:ext xmlns:c16="http://schemas.microsoft.com/office/drawing/2014/chart" uri="{C3380CC4-5D6E-409C-BE32-E72D297353CC}">
              <c16:uniqueId val="{00000001-5A40-CD4D-8FC8-754C1C4A42B5}"/>
            </c:ext>
          </c:extLst>
        </c:ser>
        <c:ser>
          <c:idx val="8"/>
          <c:order val="2"/>
          <c:tx>
            <c:strRef>
              <c:f>'Dashboard - CEW Scenario'!$B$34</c:f>
              <c:strCache>
                <c:ptCount val="1"/>
                <c:pt idx="0">
                  <c:v>Replace Remaining Diesel with Renewables</c:v>
                </c:pt>
              </c:strCache>
            </c:strRef>
          </c:tx>
          <c:spPr>
            <a:solidFill>
              <a:srgbClr val="833B0B"/>
            </a:solidFill>
            <a:ln w="15875">
              <a:solidFill>
                <a:schemeClr val="bg1"/>
              </a:solidFill>
            </a:ln>
            <a:effectLst/>
          </c:spPr>
          <c:val>
            <c:numRef>
              <c:f>'Dashboard - CEW Scenario'!$BY$34:$DC$34</c:f>
              <c:numCache>
                <c:formatCode>_(* #,##0_);_(* \(#,##0\);_(* "-"??_);_(@_)</c:formatCode>
                <c:ptCount val="4"/>
                <c:pt idx="0">
                  <c:v>5.8207660913467407E-11</c:v>
                </c:pt>
                <c:pt idx="1">
                  <c:v>509260.34061178105</c:v>
                </c:pt>
                <c:pt idx="2">
                  <c:v>500537.18387611909</c:v>
                </c:pt>
                <c:pt idx="3">
                  <c:v>500078.07036371581</c:v>
                </c:pt>
              </c:numCache>
            </c:numRef>
          </c:val>
          <c:extLst>
            <c:ext xmlns:c16="http://schemas.microsoft.com/office/drawing/2014/chart" uri="{C3380CC4-5D6E-409C-BE32-E72D297353CC}">
              <c16:uniqueId val="{00000002-5A40-CD4D-8FC8-754C1C4A42B5}"/>
            </c:ext>
          </c:extLst>
        </c:ser>
        <c:ser>
          <c:idx val="10"/>
          <c:order val="3"/>
          <c:tx>
            <c:strRef>
              <c:f>'Dashboard - CEW Scenario'!$B$32</c:f>
              <c:strCache>
                <c:ptCount val="1"/>
                <c:pt idx="0">
                  <c:v>Commercial Electric Vehicles</c:v>
                </c:pt>
              </c:strCache>
            </c:strRef>
          </c:tx>
          <c:spPr>
            <a:solidFill>
              <a:schemeClr val="accent5">
                <a:lumMod val="60000"/>
              </a:schemeClr>
            </a:solidFill>
            <a:ln>
              <a:noFill/>
            </a:ln>
            <a:effectLst/>
          </c:spPr>
          <c:val>
            <c:numRef>
              <c:f>'Dashboard - CEW Scenario'!$BY$32:$DC$32</c:f>
            </c:numRef>
          </c:val>
          <c:extLst>
            <c:ext xmlns:c16="http://schemas.microsoft.com/office/drawing/2014/chart" uri="{C3380CC4-5D6E-409C-BE32-E72D297353CC}">
              <c16:uniqueId val="{00000003-5A40-CD4D-8FC8-754C1C4A42B5}"/>
            </c:ext>
          </c:extLst>
        </c:ser>
        <c:ser>
          <c:idx val="9"/>
          <c:order val="4"/>
          <c:tx>
            <c:strRef>
              <c:f>'Dashboard - CEW Scenario'!$B$30</c:f>
              <c:strCache>
                <c:ptCount val="1"/>
                <c:pt idx="0">
                  <c:v>Replace Remaining Gasoline with Renewables</c:v>
                </c:pt>
              </c:strCache>
            </c:strRef>
          </c:tx>
          <c:spPr>
            <a:solidFill>
              <a:srgbClr val="ED7C32"/>
            </a:solidFill>
            <a:ln w="15875">
              <a:solidFill>
                <a:schemeClr val="bg1"/>
              </a:solidFill>
            </a:ln>
            <a:effectLst/>
          </c:spPr>
          <c:val>
            <c:numRef>
              <c:f>'Dashboard - CEW Scenario'!$BY$30:$DC$30</c:f>
              <c:numCache>
                <c:formatCode>_(* #,##0_);_(* \(#,##0\);_(* "-"??_);_(@_)</c:formatCode>
                <c:ptCount val="4"/>
                <c:pt idx="0">
                  <c:v>0</c:v>
                </c:pt>
                <c:pt idx="1">
                  <c:v>0</c:v>
                </c:pt>
                <c:pt idx="2">
                  <c:v>773949.62451014796</c:v>
                </c:pt>
                <c:pt idx="3">
                  <c:v>814683.81527383998</c:v>
                </c:pt>
              </c:numCache>
            </c:numRef>
          </c:val>
          <c:extLst>
            <c:ext xmlns:c16="http://schemas.microsoft.com/office/drawing/2014/chart" uri="{C3380CC4-5D6E-409C-BE32-E72D297353CC}">
              <c16:uniqueId val="{00000004-5A40-CD4D-8FC8-754C1C4A42B5}"/>
            </c:ext>
          </c:extLst>
        </c:ser>
        <c:ser>
          <c:idx val="7"/>
          <c:order val="5"/>
          <c:tx>
            <c:strRef>
              <c:f>'Dashboard - CEW Scenario'!$AA$28</c:f>
              <c:strCache>
                <c:ptCount val="1"/>
                <c:pt idx="0">
                  <c:v>Transportation Policy Scenario</c:v>
                </c:pt>
              </c:strCache>
            </c:strRef>
          </c:tx>
          <c:spPr>
            <a:solidFill>
              <a:srgbClr val="F5B084"/>
            </a:solidFill>
            <a:ln>
              <a:noFill/>
            </a:ln>
            <a:effectLst/>
          </c:spPr>
          <c:val>
            <c:numRef>
              <c:f>'Dashboard - CEW Scenario'!$BY$28:$DC$28</c:f>
              <c:numCache>
                <c:formatCode>_(* #,##0_);_(* \(#,##0\);_(* "-"??_);_(@_)</c:formatCode>
                <c:ptCount val="4"/>
                <c:pt idx="0">
                  <c:v>-5.8207660913467407E-11</c:v>
                </c:pt>
                <c:pt idx="1">
                  <c:v>582951.41706082097</c:v>
                </c:pt>
                <c:pt idx="2">
                  <c:v>951790.84828082775</c:v>
                </c:pt>
                <c:pt idx="3">
                  <c:v>971203.44992398599</c:v>
                </c:pt>
              </c:numCache>
            </c:numRef>
          </c:val>
          <c:extLst>
            <c:ext xmlns:c16="http://schemas.microsoft.com/office/drawing/2014/chart" uri="{C3380CC4-5D6E-409C-BE32-E72D297353CC}">
              <c16:uniqueId val="{00000005-5A40-CD4D-8FC8-754C1C4A42B5}"/>
            </c:ext>
          </c:extLst>
        </c:ser>
        <c:ser>
          <c:idx val="2"/>
          <c:order val="6"/>
          <c:tx>
            <c:strRef>
              <c:f>'Dashboard - CEW Scenario'!$AA$26</c:f>
              <c:strCache>
                <c:ptCount val="1"/>
                <c:pt idx="0">
                  <c:v>Transportation Baseline Reductions</c:v>
                </c:pt>
              </c:strCache>
            </c:strRef>
          </c:tx>
          <c:spPr>
            <a:solidFill>
              <a:srgbClr val="F9CCAD"/>
            </a:solidFill>
            <a:ln w="15875">
              <a:solidFill>
                <a:schemeClr val="bg1"/>
              </a:solidFill>
            </a:ln>
            <a:effectLst/>
          </c:spPr>
          <c:val>
            <c:numRef>
              <c:f>'Dashboard - CEW Scenario'!$BY$26:$DC$26</c:f>
              <c:numCache>
                <c:formatCode>_(* #,##0_);_(* \(#,##0\);_(* "-"??_);_(@_)</c:formatCode>
                <c:ptCount val="4"/>
                <c:pt idx="0">
                  <c:v>0</c:v>
                </c:pt>
                <c:pt idx="1">
                  <c:v>726196.83815132244</c:v>
                </c:pt>
                <c:pt idx="2">
                  <c:v>919828.50503142131</c:v>
                </c:pt>
                <c:pt idx="3">
                  <c:v>930019.64539353177</c:v>
                </c:pt>
              </c:numCache>
            </c:numRef>
          </c:val>
          <c:extLst>
            <c:ext xmlns:c16="http://schemas.microsoft.com/office/drawing/2014/chart" uri="{C3380CC4-5D6E-409C-BE32-E72D297353CC}">
              <c16:uniqueId val="{00000006-5A40-CD4D-8FC8-754C1C4A42B5}"/>
            </c:ext>
          </c:extLst>
        </c:ser>
        <c:ser>
          <c:idx val="17"/>
          <c:order val="7"/>
          <c:tx>
            <c:strRef>
              <c:f>'Dashboard - CEW Scenario'!$B$24</c:f>
              <c:strCache>
                <c:ptCount val="1"/>
                <c:pt idx="0">
                  <c:v>Industrial Innovation</c:v>
                </c:pt>
              </c:strCache>
            </c:strRef>
          </c:tx>
          <c:spPr>
            <a:solidFill>
              <a:srgbClr val="E6C359"/>
            </a:solidFill>
            <a:ln>
              <a:solidFill>
                <a:schemeClr val="bg1"/>
              </a:solidFill>
            </a:ln>
            <a:effectLst/>
          </c:spPr>
          <c:cat>
            <c:numRef>
              <c:f>'Dashboard - CEW Scenario'!$BY$2:$DC$2</c:f>
              <c:numCache>
                <c:formatCode>General</c:formatCode>
                <c:ptCount val="4"/>
                <c:pt idx="0">
                  <c:v>2020</c:v>
                </c:pt>
                <c:pt idx="1">
                  <c:v>2030</c:v>
                </c:pt>
                <c:pt idx="2">
                  <c:v>2049</c:v>
                </c:pt>
                <c:pt idx="3">
                  <c:v>2050</c:v>
                </c:pt>
              </c:numCache>
            </c:numRef>
          </c:cat>
          <c:val>
            <c:numRef>
              <c:f>'Dashboard - CEW Scenario'!$BY$24:$DC$24</c:f>
              <c:numCache>
                <c:formatCode>_(* #,##0_);_(* \(#,##0\);_(* "-"??_);_(@_)</c:formatCode>
                <c:ptCount val="4"/>
                <c:pt idx="0">
                  <c:v>0</c:v>
                </c:pt>
                <c:pt idx="1">
                  <c:v>0</c:v>
                </c:pt>
                <c:pt idx="2">
                  <c:v>658722.00429445261</c:v>
                </c:pt>
                <c:pt idx="3">
                  <c:v>693391.58346784487</c:v>
                </c:pt>
              </c:numCache>
            </c:numRef>
          </c:val>
          <c:extLst>
            <c:ext xmlns:c16="http://schemas.microsoft.com/office/drawing/2014/chart" uri="{C3380CC4-5D6E-409C-BE32-E72D297353CC}">
              <c16:uniqueId val="{00000002-0523-B54D-8BF7-C2A723C043E6}"/>
            </c:ext>
          </c:extLst>
        </c:ser>
        <c:ser>
          <c:idx val="16"/>
          <c:order val="8"/>
          <c:tx>
            <c:strRef>
              <c:f>'Dashboard - CEW Scenario'!$B$22</c:f>
              <c:strCache>
                <c:ptCount val="1"/>
                <c:pt idx="0">
                  <c:v>Natural Gas in New Construction</c:v>
                </c:pt>
              </c:strCache>
            </c:strRef>
          </c:tx>
          <c:spPr>
            <a:solidFill>
              <a:srgbClr val="305396"/>
            </a:solidFill>
            <a:ln w="15875">
              <a:solidFill>
                <a:schemeClr val="bg1"/>
              </a:solidFill>
            </a:ln>
            <a:effectLst/>
          </c:spPr>
          <c:cat>
            <c:numRef>
              <c:f>'Dashboard - CEW Scenario'!$BY$2:$DC$2</c:f>
              <c:numCache>
                <c:formatCode>General</c:formatCode>
                <c:ptCount val="4"/>
                <c:pt idx="0">
                  <c:v>2020</c:v>
                </c:pt>
                <c:pt idx="1">
                  <c:v>2030</c:v>
                </c:pt>
                <c:pt idx="2">
                  <c:v>2049</c:v>
                </c:pt>
                <c:pt idx="3">
                  <c:v>2050</c:v>
                </c:pt>
              </c:numCache>
            </c:numRef>
          </c:cat>
          <c:val>
            <c:numRef>
              <c:f>'Dashboard - CEW Scenario'!$BY$22:$DC$22</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7-5A40-CD4D-8FC8-754C1C4A42B5}"/>
            </c:ext>
          </c:extLst>
        </c:ser>
        <c:ser>
          <c:idx val="5"/>
          <c:order val="9"/>
          <c:tx>
            <c:strRef>
              <c:f>'Dashboard - CEW Scenario'!$B$20</c:f>
              <c:strCache>
                <c:ptCount val="1"/>
                <c:pt idx="0">
                  <c:v>Commercial Electrification (existing buildings)</c:v>
                </c:pt>
              </c:strCache>
            </c:strRef>
          </c:tx>
          <c:spPr>
            <a:solidFill>
              <a:srgbClr val="305396"/>
            </a:solidFill>
            <a:ln w="15875">
              <a:solidFill>
                <a:schemeClr val="bg1">
                  <a:lumMod val="95000"/>
                </a:schemeClr>
              </a:solidFill>
            </a:ln>
            <a:effectLst/>
          </c:spPr>
          <c:val>
            <c:numRef>
              <c:f>'Dashboard - CEW Scenario'!$BY$20:$DC$20</c:f>
              <c:numCache>
                <c:formatCode>_(* #,##0_);_(* \(#,##0\);_(* "-"??_);_(@_)</c:formatCode>
                <c:ptCount val="4"/>
                <c:pt idx="0">
                  <c:v>-9.0949470177292824E-13</c:v>
                </c:pt>
                <c:pt idx="1">
                  <c:v>7837.5607215710033</c:v>
                </c:pt>
                <c:pt idx="2">
                  <c:v>252515.6195184417</c:v>
                </c:pt>
                <c:pt idx="3">
                  <c:v>265393.41208669805</c:v>
                </c:pt>
              </c:numCache>
            </c:numRef>
          </c:val>
          <c:extLst>
            <c:ext xmlns:c16="http://schemas.microsoft.com/office/drawing/2014/chart" uri="{C3380CC4-5D6E-409C-BE32-E72D297353CC}">
              <c16:uniqueId val="{00000008-5A40-CD4D-8FC8-754C1C4A42B5}"/>
            </c:ext>
          </c:extLst>
        </c:ser>
        <c:ser>
          <c:idx val="4"/>
          <c:order val="10"/>
          <c:tx>
            <c:strRef>
              <c:f>'Dashboard - CEW Scenario'!$B$18</c:f>
              <c:strCache>
                <c:ptCount val="1"/>
                <c:pt idx="0">
                  <c:v>Residential Electrification (existing homes)</c:v>
                </c:pt>
              </c:strCache>
            </c:strRef>
          </c:tx>
          <c:spPr>
            <a:solidFill>
              <a:srgbClr val="305396"/>
            </a:solidFill>
            <a:ln w="19050">
              <a:solidFill>
                <a:schemeClr val="bg1">
                  <a:lumMod val="95000"/>
                </a:schemeClr>
              </a:solidFill>
            </a:ln>
            <a:effectLst/>
          </c:spPr>
          <c:val>
            <c:numRef>
              <c:f>'Dashboard - CEW Scenario'!$BY$18:$DC$18</c:f>
              <c:numCache>
                <c:formatCode>_(* #,##0_);_(* \(#,##0\);_(* "-"??_);_(@_)</c:formatCode>
                <c:ptCount val="4"/>
                <c:pt idx="0">
                  <c:v>0</c:v>
                </c:pt>
                <c:pt idx="1">
                  <c:v>5392.8086891362491</c:v>
                </c:pt>
                <c:pt idx="2">
                  <c:v>217252.32568090816</c:v>
                </c:pt>
                <c:pt idx="3">
                  <c:v>228402.82657521195</c:v>
                </c:pt>
              </c:numCache>
            </c:numRef>
          </c:val>
          <c:extLst>
            <c:ext xmlns:c16="http://schemas.microsoft.com/office/drawing/2014/chart" uri="{C3380CC4-5D6E-409C-BE32-E72D297353CC}">
              <c16:uniqueId val="{00000009-5A40-CD4D-8FC8-754C1C4A42B5}"/>
            </c:ext>
          </c:extLst>
        </c:ser>
        <c:ser>
          <c:idx val="6"/>
          <c:order val="11"/>
          <c:tx>
            <c:strRef>
              <c:f>'Dashboard - CEW Scenario'!$B$16</c:f>
              <c:strCache>
                <c:ptCount val="1"/>
                <c:pt idx="0">
                  <c:v>Renewable Natural Gas</c:v>
                </c:pt>
              </c:strCache>
            </c:strRef>
          </c:tx>
          <c:spPr>
            <a:solidFill>
              <a:srgbClr val="4472C5"/>
            </a:solidFill>
            <a:ln w="15875">
              <a:solidFill>
                <a:schemeClr val="bg1">
                  <a:lumMod val="95000"/>
                </a:schemeClr>
              </a:solidFill>
            </a:ln>
            <a:effectLst/>
          </c:spPr>
          <c:val>
            <c:numRef>
              <c:f>'Dashboard - CEW Scenario'!$BY$16:$DC$16</c:f>
              <c:numCache>
                <c:formatCode>_(* #,##0_);_(* \(#,##0\);_(* "-"??_);_(@_)</c:formatCode>
                <c:ptCount val="4"/>
                <c:pt idx="0">
                  <c:v>0</c:v>
                </c:pt>
                <c:pt idx="1">
                  <c:v>0</c:v>
                </c:pt>
                <c:pt idx="2">
                  <c:v>103884.04716960333</c:v>
                </c:pt>
                <c:pt idx="3">
                  <c:v>109351.62859958246</c:v>
                </c:pt>
              </c:numCache>
            </c:numRef>
          </c:val>
          <c:extLst>
            <c:ext xmlns:c16="http://schemas.microsoft.com/office/drawing/2014/chart" uri="{C3380CC4-5D6E-409C-BE32-E72D297353CC}">
              <c16:uniqueId val="{0000000A-5A40-CD4D-8FC8-754C1C4A42B5}"/>
            </c:ext>
          </c:extLst>
        </c:ser>
        <c:ser>
          <c:idx val="0"/>
          <c:order val="12"/>
          <c:tx>
            <c:strRef>
              <c:f>'Dashboard - CEW Scenario'!$BU$14</c:f>
              <c:strCache>
                <c:ptCount val="1"/>
                <c:pt idx="0">
                  <c:v>Renewable Electricity</c:v>
                </c:pt>
              </c:strCache>
            </c:strRef>
          </c:tx>
          <c:spPr>
            <a:solidFill>
              <a:srgbClr val="4472C5"/>
            </a:solidFill>
            <a:ln w="19050">
              <a:solidFill>
                <a:schemeClr val="bg1">
                  <a:lumMod val="95000"/>
                </a:schemeClr>
              </a:solidFill>
            </a:ln>
            <a:effectLst/>
          </c:spPr>
          <c:cat>
            <c:numRef>
              <c:f>'Dashboard - CEW Scenario'!$BY$2:$DC$2</c:f>
              <c:numCache>
                <c:formatCode>General</c:formatCode>
                <c:ptCount val="4"/>
                <c:pt idx="0">
                  <c:v>2020</c:v>
                </c:pt>
                <c:pt idx="1">
                  <c:v>2030</c:v>
                </c:pt>
                <c:pt idx="2">
                  <c:v>2049</c:v>
                </c:pt>
                <c:pt idx="3">
                  <c:v>2050</c:v>
                </c:pt>
              </c:numCache>
            </c:numRef>
          </c:cat>
          <c:val>
            <c:numRef>
              <c:f>'Dashboard - CEW Scenario'!$BY$14:$DC$14</c:f>
              <c:numCache>
                <c:formatCode>_(* #,##0_);_(* \(#,##0\);_(* "-"??_);_(@_)</c:formatCode>
                <c:ptCount val="4"/>
                <c:pt idx="0">
                  <c:v>0</c:v>
                </c:pt>
                <c:pt idx="1">
                  <c:v>728986.92648493731</c:v>
                </c:pt>
                <c:pt idx="2">
                  <c:v>560357.26177466777</c:v>
                </c:pt>
                <c:pt idx="3">
                  <c:v>551482.0162636009</c:v>
                </c:pt>
              </c:numCache>
            </c:numRef>
          </c:val>
          <c:extLst>
            <c:ext xmlns:c16="http://schemas.microsoft.com/office/drawing/2014/chart" uri="{C3380CC4-5D6E-409C-BE32-E72D297353CC}">
              <c16:uniqueId val="{0000000B-5A40-CD4D-8FC8-754C1C4A42B5}"/>
            </c:ext>
          </c:extLst>
        </c:ser>
        <c:ser>
          <c:idx val="15"/>
          <c:order val="13"/>
          <c:tx>
            <c:strRef>
              <c:f>'Dashboard - CEW Scenario'!$B$12</c:f>
              <c:strCache>
                <c:ptCount val="1"/>
                <c:pt idx="0">
                  <c:v>New Construction Energy Codes (R+C)</c:v>
                </c:pt>
              </c:strCache>
            </c:strRef>
          </c:tx>
          <c:spPr>
            <a:solidFill>
              <a:srgbClr val="8EA9DB"/>
            </a:solidFill>
            <a:ln w="15875">
              <a:solidFill>
                <a:schemeClr val="bg1"/>
              </a:solidFill>
            </a:ln>
            <a:effectLst/>
          </c:spPr>
          <c:cat>
            <c:numRef>
              <c:f>'Dashboard - CEW Scenario'!$BY$2:$DC$2</c:f>
              <c:numCache>
                <c:formatCode>General</c:formatCode>
                <c:ptCount val="4"/>
                <c:pt idx="0">
                  <c:v>2020</c:v>
                </c:pt>
                <c:pt idx="1">
                  <c:v>2030</c:v>
                </c:pt>
                <c:pt idx="2">
                  <c:v>2049</c:v>
                </c:pt>
                <c:pt idx="3">
                  <c:v>2050</c:v>
                </c:pt>
              </c:numCache>
            </c:numRef>
          </c:cat>
          <c:val>
            <c:numRef>
              <c:f>'Dashboard - CEW Scenario'!$BY$12:$DC$12</c:f>
              <c:numCache>
                <c:formatCode>_(* #,##0_);_(* \(#,##0\);_(* "-"??_);_(@_)</c:formatCode>
                <c:ptCount val="4"/>
                <c:pt idx="0">
                  <c:v>0</c:v>
                </c:pt>
                <c:pt idx="1">
                  <c:v>0</c:v>
                </c:pt>
                <c:pt idx="2">
                  <c:v>214163.25902754342</c:v>
                </c:pt>
                <c:pt idx="3">
                  <c:v>225435.00950267728</c:v>
                </c:pt>
              </c:numCache>
            </c:numRef>
          </c:val>
          <c:extLst>
            <c:ext xmlns:c16="http://schemas.microsoft.com/office/drawing/2014/chart" uri="{C3380CC4-5D6E-409C-BE32-E72D297353CC}">
              <c16:uniqueId val="{0000000C-5A40-CD4D-8FC8-754C1C4A42B5}"/>
            </c:ext>
          </c:extLst>
        </c:ser>
        <c:ser>
          <c:idx val="14"/>
          <c:order val="14"/>
          <c:tx>
            <c:strRef>
              <c:f>'Dashboard - CEW Scenario'!$B$10</c:f>
              <c:strCache>
                <c:ptCount val="1"/>
                <c:pt idx="0">
                  <c:v>Commercial Energy Efficiency (existing buildings)</c:v>
                </c:pt>
              </c:strCache>
            </c:strRef>
          </c:tx>
          <c:spPr>
            <a:solidFill>
              <a:srgbClr val="8EA9DB"/>
            </a:solidFill>
            <a:ln w="15875">
              <a:solidFill>
                <a:schemeClr val="bg1"/>
              </a:solidFill>
            </a:ln>
            <a:effectLst/>
          </c:spPr>
          <c:val>
            <c:numRef>
              <c:f>'Dashboard - CEW Scenario'!$BY$10:$DC$10</c:f>
              <c:numCache>
                <c:formatCode>_(* #,##0_);_(* \(#,##0\);_(* "-"??_);_(@_)</c:formatCode>
                <c:ptCount val="4"/>
                <c:pt idx="0">
                  <c:v>0</c:v>
                </c:pt>
                <c:pt idx="1">
                  <c:v>153549.33825356537</c:v>
                </c:pt>
                <c:pt idx="2">
                  <c:v>318907.63640956837</c:v>
                </c:pt>
                <c:pt idx="3">
                  <c:v>327610.70473356853</c:v>
                </c:pt>
              </c:numCache>
            </c:numRef>
          </c:val>
          <c:extLst>
            <c:ext xmlns:c16="http://schemas.microsoft.com/office/drawing/2014/chart" uri="{C3380CC4-5D6E-409C-BE32-E72D297353CC}">
              <c16:uniqueId val="{0000000D-5A40-CD4D-8FC8-754C1C4A42B5}"/>
            </c:ext>
          </c:extLst>
        </c:ser>
        <c:ser>
          <c:idx val="13"/>
          <c:order val="15"/>
          <c:tx>
            <c:strRef>
              <c:f>'Dashboard - CEW Scenario'!$B$8</c:f>
              <c:strCache>
                <c:ptCount val="1"/>
                <c:pt idx="0">
                  <c:v>Residential Energy Efficiency (existing homes)</c:v>
                </c:pt>
              </c:strCache>
            </c:strRef>
          </c:tx>
          <c:spPr>
            <a:solidFill>
              <a:srgbClr val="8EA9DB"/>
            </a:solidFill>
            <a:ln w="15875">
              <a:solidFill>
                <a:schemeClr val="bg1"/>
              </a:solidFill>
            </a:ln>
            <a:effectLst/>
          </c:spPr>
          <c:cat>
            <c:numRef>
              <c:f>'Dashboard - CEW Scenario'!$BY$2:$DC$2</c:f>
              <c:numCache>
                <c:formatCode>General</c:formatCode>
                <c:ptCount val="4"/>
                <c:pt idx="0">
                  <c:v>2020</c:v>
                </c:pt>
                <c:pt idx="1">
                  <c:v>2030</c:v>
                </c:pt>
                <c:pt idx="2">
                  <c:v>2049</c:v>
                </c:pt>
                <c:pt idx="3">
                  <c:v>2050</c:v>
                </c:pt>
              </c:numCache>
            </c:numRef>
          </c:cat>
          <c:val>
            <c:numRef>
              <c:f>'Dashboard - CEW Scenario'!$BY$8:$DC$8</c:f>
              <c:numCache>
                <c:formatCode>_(* #,##0_);_(* \(#,##0\);_(* "-"??_);_(@_)</c:formatCode>
                <c:ptCount val="4"/>
                <c:pt idx="0">
                  <c:v>0</c:v>
                </c:pt>
                <c:pt idx="1">
                  <c:v>167952.51198871204</c:v>
                </c:pt>
                <c:pt idx="2">
                  <c:v>366260.83888744836</c:v>
                </c:pt>
                <c:pt idx="3">
                  <c:v>376698.11925053975</c:v>
                </c:pt>
              </c:numCache>
            </c:numRef>
          </c:val>
          <c:extLst>
            <c:ext xmlns:c16="http://schemas.microsoft.com/office/drawing/2014/chart" uri="{C3380CC4-5D6E-409C-BE32-E72D297353CC}">
              <c16:uniqueId val="{0000000E-5A40-CD4D-8FC8-754C1C4A42B5}"/>
            </c:ext>
          </c:extLst>
        </c:ser>
        <c:ser>
          <c:idx val="3"/>
          <c:order val="16"/>
          <c:tx>
            <c:strRef>
              <c:f>'Dashboard - CEW Scenario'!$AA$6</c:f>
              <c:strCache>
                <c:ptCount val="1"/>
                <c:pt idx="0">
                  <c:v>Building Baseline Reductions</c:v>
                </c:pt>
              </c:strCache>
            </c:strRef>
          </c:tx>
          <c:spPr>
            <a:solidFill>
              <a:srgbClr val="B4C6E7"/>
            </a:solidFill>
            <a:ln w="19050">
              <a:solidFill>
                <a:schemeClr val="bg1">
                  <a:lumMod val="95000"/>
                </a:schemeClr>
              </a:solidFill>
            </a:ln>
            <a:effectLst/>
          </c:spPr>
          <c:cat>
            <c:numRef>
              <c:f>'Dashboard - CEW Scenario'!$BY$2:$DC$2</c:f>
              <c:numCache>
                <c:formatCode>General</c:formatCode>
                <c:ptCount val="4"/>
                <c:pt idx="0">
                  <c:v>2020</c:v>
                </c:pt>
                <c:pt idx="1">
                  <c:v>2030</c:v>
                </c:pt>
                <c:pt idx="2">
                  <c:v>2049</c:v>
                </c:pt>
                <c:pt idx="3">
                  <c:v>2050</c:v>
                </c:pt>
              </c:numCache>
            </c:numRef>
          </c:cat>
          <c:val>
            <c:numRef>
              <c:f>'Dashboard - CEW Scenario'!$BY$6:$DC$6</c:f>
              <c:numCache>
                <c:formatCode>_(* #,##0_);_(* \(#,##0\);_(* "-"??_);_(@_)</c:formatCode>
                <c:ptCount val="4"/>
                <c:pt idx="0">
                  <c:v>0</c:v>
                </c:pt>
                <c:pt idx="1">
                  <c:v>1776993.60578747</c:v>
                </c:pt>
                <c:pt idx="2">
                  <c:v>2399527.4984188234</c:v>
                </c:pt>
                <c:pt idx="3">
                  <c:v>2432292.4401362631</c:v>
                </c:pt>
              </c:numCache>
            </c:numRef>
          </c:val>
          <c:extLst>
            <c:ext xmlns:c16="http://schemas.microsoft.com/office/drawing/2014/chart" uri="{C3380CC4-5D6E-409C-BE32-E72D297353CC}">
              <c16:uniqueId val="{0000000F-5A40-CD4D-8FC8-754C1C4A42B5}"/>
            </c:ext>
          </c:extLst>
        </c:ser>
        <c:dLbls>
          <c:showLegendKey val="0"/>
          <c:showVal val="0"/>
          <c:showCatName val="0"/>
          <c:showSerName val="0"/>
          <c:showPercent val="0"/>
          <c:showBubbleSize val="0"/>
        </c:dLbls>
        <c:axId val="1583773951"/>
        <c:axId val="1583728095"/>
      </c:areaChart>
      <c:lineChart>
        <c:grouping val="standard"/>
        <c:varyColors val="0"/>
        <c:ser>
          <c:idx val="11"/>
          <c:order val="17"/>
          <c:tx>
            <c:strRef>
              <c:f>'Dashboard - CEW Scenario'!$AA$39</c:f>
              <c:strCache>
                <c:ptCount val="1"/>
                <c:pt idx="0">
                  <c:v>Net-zero goal (w/2030 50% milestone)</c:v>
                </c:pt>
              </c:strCache>
            </c:strRef>
          </c:tx>
          <c:spPr>
            <a:ln w="22225" cap="rnd">
              <a:solidFill>
                <a:srgbClr val="FFFF00"/>
              </a:solidFill>
              <a:prstDash val="sysDash"/>
              <a:round/>
            </a:ln>
            <a:effectLst/>
          </c:spPr>
          <c:marker>
            <c:symbol val="none"/>
          </c:marker>
          <c:cat>
            <c:numRef>
              <c:f>'Dashboard - CEW Scenario'!$BY$2:$DC$2</c:f>
              <c:numCache>
                <c:formatCode>General</c:formatCode>
                <c:ptCount val="4"/>
                <c:pt idx="0">
                  <c:v>2020</c:v>
                </c:pt>
                <c:pt idx="1">
                  <c:v>2030</c:v>
                </c:pt>
                <c:pt idx="2">
                  <c:v>2049</c:v>
                </c:pt>
                <c:pt idx="3">
                  <c:v>2050</c:v>
                </c:pt>
              </c:numCache>
            </c:numRef>
          </c:cat>
          <c:val>
            <c:numRef>
              <c:f>'Dashboard - CEW Scenario'!$BY$39:$DC$39</c:f>
              <c:numCache>
                <c:formatCode>#,##0</c:formatCode>
                <c:ptCount val="4"/>
                <c:pt idx="0">
                  <c:v>8880193.8418855593</c:v>
                </c:pt>
                <c:pt idx="1">
                  <c:v>5261816.1682274425</c:v>
                </c:pt>
                <c:pt idx="2" formatCode="_(* #,##0_);_(* \(#,##0\);_(* &quot;-&quot;_);_(@_)">
                  <c:v>263090.80841137492</c:v>
                </c:pt>
                <c:pt idx="3">
                  <c:v>0</c:v>
                </c:pt>
              </c:numCache>
            </c:numRef>
          </c:val>
          <c:smooth val="0"/>
          <c:extLst>
            <c:ext xmlns:c16="http://schemas.microsoft.com/office/drawing/2014/chart" uri="{C3380CC4-5D6E-409C-BE32-E72D297353CC}">
              <c16:uniqueId val="{00000010-5A40-CD4D-8FC8-754C1C4A42B5}"/>
            </c:ext>
          </c:extLst>
        </c:ser>
        <c:dLbls>
          <c:showLegendKey val="0"/>
          <c:showVal val="0"/>
          <c:showCatName val="0"/>
          <c:showSerName val="0"/>
          <c:showPercent val="0"/>
          <c:showBubbleSize val="0"/>
        </c:dLbls>
        <c:marker val="1"/>
        <c:smooth val="0"/>
        <c:axId val="410333935"/>
        <c:axId val="406495487"/>
      </c:lineChart>
      <c:dateAx>
        <c:axId val="1583773951"/>
        <c:scaling>
          <c:orientation val="minMax"/>
        </c:scaling>
        <c:delete val="0"/>
        <c:axPos val="b"/>
        <c:numFmt formatCode="General" sourceLinked="1"/>
        <c:majorTickMark val="out"/>
        <c:minorTickMark val="in"/>
        <c:tickLblPos val="nextTo"/>
        <c:spPr>
          <a:noFill/>
          <a:ln w="9525" cap="flat" cmpd="sng" algn="ctr">
            <a:solidFill>
              <a:schemeClr val="tx1">
                <a:lumMod val="15000"/>
                <a:lumOff val="85000"/>
              </a:schemeClr>
            </a:solidFill>
            <a:round/>
          </a:ln>
          <a:effectLst/>
        </c:spPr>
        <c:txPr>
          <a:bodyPr rot="-5400000" spcFirstLastPara="1" vertOverflow="ellipsis" wrap="square" anchor="t" anchorCtr="0"/>
          <a:lstStyle/>
          <a:p>
            <a:pPr>
              <a:defRPr sz="16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crossAx val="1583728095"/>
        <c:crosses val="autoZero"/>
        <c:auto val="0"/>
        <c:lblOffset val="100"/>
        <c:baseTimeUnit val="days"/>
        <c:majorUnit val="10"/>
        <c:majorTimeUnit val="days"/>
      </c:dateAx>
      <c:valAx>
        <c:axId val="1583728095"/>
        <c:scaling>
          <c:orientation val="minMax"/>
          <c:max val="1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Avenir Book" panose="02000503020000020003" pitchFamily="2" charset="0"/>
                    <a:ea typeface="+mn-ea"/>
                    <a:cs typeface="+mn-cs"/>
                  </a:defRPr>
                </a:pPr>
                <a:r>
                  <a:rPr lang="en-US"/>
                  <a:t>Greenhouse Gas Emissions</a:t>
                </a:r>
                <a:r>
                  <a:rPr lang="en-US" baseline="0"/>
                  <a:t> (MT CO</a:t>
                </a:r>
                <a:r>
                  <a:rPr lang="en-US" baseline="-25000"/>
                  <a:t>2</a:t>
                </a:r>
                <a:r>
                  <a:rPr lang="en-US" baseline="0"/>
                  <a:t>e)</a:t>
                </a:r>
                <a:endParaRPr lang="en-US"/>
              </a:p>
            </c:rich>
          </c:tx>
          <c:layout>
            <c:manualLayout>
              <c:xMode val="edge"/>
              <c:yMode val="edge"/>
              <c:x val="1.8724634879262878E-2"/>
              <c:y val="0.1964826956800621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crossAx val="1583773951"/>
        <c:crosses val="autoZero"/>
        <c:crossBetween val="midCat"/>
        <c:majorUnit val="2000000"/>
      </c:valAx>
      <c:valAx>
        <c:axId val="406495487"/>
        <c:scaling>
          <c:orientation val="minMax"/>
        </c:scaling>
        <c:delete val="1"/>
        <c:axPos val="r"/>
        <c:numFmt formatCode="#,##0" sourceLinked="1"/>
        <c:majorTickMark val="out"/>
        <c:minorTickMark val="none"/>
        <c:tickLblPos val="nextTo"/>
        <c:crossAx val="410333935"/>
        <c:crosses val="max"/>
        <c:crossBetween val="between"/>
      </c:valAx>
      <c:catAx>
        <c:axId val="410333935"/>
        <c:scaling>
          <c:orientation val="minMax"/>
        </c:scaling>
        <c:delete val="1"/>
        <c:axPos val="b"/>
        <c:numFmt formatCode="General" sourceLinked="1"/>
        <c:majorTickMark val="out"/>
        <c:minorTickMark val="none"/>
        <c:tickLblPos val="nextTo"/>
        <c:crossAx val="406495487"/>
        <c:crosses val="autoZero"/>
        <c:auto val="1"/>
        <c:lblAlgn val="ctr"/>
        <c:lblOffset val="100"/>
        <c:noMultiLvlLbl val="0"/>
      </c:catAx>
      <c:spPr>
        <a:noFill/>
        <a:ln>
          <a:noFill/>
        </a:ln>
        <a:effectLst/>
      </c:spPr>
    </c:plotArea>
    <c:legend>
      <c:legendPos val="b"/>
      <c:legendEntry>
        <c:idx val="16"/>
        <c:delete val="1"/>
      </c:legendEntry>
      <c:layout>
        <c:manualLayout>
          <c:xMode val="edge"/>
          <c:yMode val="edge"/>
          <c:x val="1.2874453918455552E-2"/>
          <c:y val="0.63417386548378518"/>
          <c:w val="0.97488869538951473"/>
          <c:h val="0.35784712429057752"/>
        </c:manualLayout>
      </c:layout>
      <c:overlay val="0"/>
      <c:spPr>
        <a:noFill/>
        <a:ln>
          <a:noFill/>
        </a:ln>
        <a:effectLst/>
      </c:spPr>
      <c:txPr>
        <a:bodyPr rot="0" spcFirstLastPara="1" vertOverflow="ellipsis" vert="horz" wrap="square" anchor="ctr" anchorCtr="1"/>
        <a:lstStyle/>
        <a:p>
          <a:pPr>
            <a:defRPr sz="2100" b="0" i="0" u="none" strike="noStrike" kern="1200" baseline="0">
              <a:solidFill>
                <a:schemeClr val="tx1">
                  <a:lumMod val="85000"/>
                  <a:lumOff val="15000"/>
                </a:schemeClr>
              </a:solidFill>
              <a:latin typeface="Avenir Book" panose="02000503020000020003" pitchFamily="2" charset="0"/>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800">
          <a:latin typeface="Avenir Book" panose="02000503020000020003"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tx1">
                    <a:lumMod val="65000"/>
                    <a:lumOff val="35000"/>
                  </a:schemeClr>
                </a:solidFill>
                <a:latin typeface="Avenir Book" panose="02000503020000020003" pitchFamily="2" charset="0"/>
                <a:ea typeface="+mn-ea"/>
                <a:cs typeface="+mn-cs"/>
              </a:defRPr>
            </a:pPr>
            <a:r>
              <a:rPr lang="en-US" sz="2200" b="1">
                <a:effectLst/>
              </a:rPr>
              <a:t>Portland’s pathways to net-zero carbon by 2050 </a:t>
            </a:r>
            <a:endParaRPr lang="en-US" sz="2200"/>
          </a:p>
        </c:rich>
      </c:tx>
      <c:layout>
        <c:manualLayout>
          <c:xMode val="edge"/>
          <c:yMode val="edge"/>
          <c:x val="0.17863010325612766"/>
          <c:y val="2.36318407960199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chemeClr val="tx1">
                  <a:lumMod val="65000"/>
                  <a:lumOff val="35000"/>
                </a:schemeClr>
              </a:solidFill>
              <a:latin typeface="Avenir Book" panose="02000503020000020003" pitchFamily="2" charset="0"/>
              <a:ea typeface="+mn-ea"/>
              <a:cs typeface="+mn-cs"/>
            </a:defRPr>
          </a:pPr>
          <a:endParaRPr lang="en-US"/>
        </a:p>
      </c:txPr>
    </c:title>
    <c:autoTitleDeleted val="0"/>
    <c:plotArea>
      <c:layout>
        <c:manualLayout>
          <c:layoutTarget val="inner"/>
          <c:xMode val="edge"/>
          <c:yMode val="edge"/>
          <c:x val="0.14208706916394118"/>
          <c:y val="6.9620597798409525E-2"/>
          <c:w val="0.82002783472596175"/>
          <c:h val="0.79569230618560738"/>
        </c:manualLayout>
      </c:layout>
      <c:areaChart>
        <c:grouping val="stacked"/>
        <c:varyColors val="0"/>
        <c:ser>
          <c:idx val="2"/>
          <c:order val="0"/>
          <c:tx>
            <c:strRef>
              <c:f>'Dashboard - CEW Scenario'!$AA$56</c:f>
              <c:strCache>
                <c:ptCount val="1"/>
                <c:pt idx="0">
                  <c:v>Waste</c:v>
                </c:pt>
              </c:strCache>
            </c:strRef>
          </c:tx>
          <c:spPr>
            <a:solidFill>
              <a:schemeClr val="accent3"/>
            </a:solidFill>
            <a:ln>
              <a:noFill/>
            </a:ln>
            <a:effectLst/>
          </c:spPr>
          <c:cat>
            <c:numRef>
              <c:f>'Dashboard - CEW Scenario'!$AB$53:$BI$53</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'Dashboard - CEW Scenario'!$AB$56:$BI$56</c:f>
              <c:numCache>
                <c:formatCode>_(* #,##0_);_(* \(#,##0\);_(* "-"??_);_(@_)</c:formatCode>
                <c:ptCount val="31"/>
                <c:pt idx="0" formatCode="#,##0">
                  <c:v>310009</c:v>
                </c:pt>
                <c:pt idx="1">
                  <c:v>310009</c:v>
                </c:pt>
                <c:pt idx="2">
                  <c:v>310009</c:v>
                </c:pt>
                <c:pt idx="3">
                  <c:v>310009</c:v>
                </c:pt>
                <c:pt idx="4">
                  <c:v>310009</c:v>
                </c:pt>
                <c:pt idx="5">
                  <c:v>310009</c:v>
                </c:pt>
                <c:pt idx="6">
                  <c:v>310009</c:v>
                </c:pt>
                <c:pt idx="7">
                  <c:v>310009</c:v>
                </c:pt>
                <c:pt idx="8">
                  <c:v>310009</c:v>
                </c:pt>
                <c:pt idx="9">
                  <c:v>310009</c:v>
                </c:pt>
                <c:pt idx="10">
                  <c:v>310009</c:v>
                </c:pt>
                <c:pt idx="11">
                  <c:v>310009</c:v>
                </c:pt>
                <c:pt idx="12">
                  <c:v>310009</c:v>
                </c:pt>
                <c:pt idx="13">
                  <c:v>310009</c:v>
                </c:pt>
                <c:pt idx="14">
                  <c:v>310009</c:v>
                </c:pt>
                <c:pt idx="15">
                  <c:v>310009</c:v>
                </c:pt>
                <c:pt idx="16">
                  <c:v>310009</c:v>
                </c:pt>
                <c:pt idx="17">
                  <c:v>310009</c:v>
                </c:pt>
                <c:pt idx="18">
                  <c:v>310009</c:v>
                </c:pt>
                <c:pt idx="19">
                  <c:v>310009</c:v>
                </c:pt>
                <c:pt idx="20">
                  <c:v>310009</c:v>
                </c:pt>
                <c:pt idx="21">
                  <c:v>310009</c:v>
                </c:pt>
                <c:pt idx="22">
                  <c:v>310009</c:v>
                </c:pt>
                <c:pt idx="23">
                  <c:v>310009</c:v>
                </c:pt>
                <c:pt idx="24">
                  <c:v>310009</c:v>
                </c:pt>
                <c:pt idx="25">
                  <c:v>310009</c:v>
                </c:pt>
                <c:pt idx="26">
                  <c:v>310009</c:v>
                </c:pt>
                <c:pt idx="27">
                  <c:v>310009</c:v>
                </c:pt>
                <c:pt idx="28">
                  <c:v>310009</c:v>
                </c:pt>
                <c:pt idx="29">
                  <c:v>310009</c:v>
                </c:pt>
                <c:pt idx="30">
                  <c:v>310009</c:v>
                </c:pt>
              </c:numCache>
            </c:numRef>
          </c:val>
          <c:extLst>
            <c:ext xmlns:c16="http://schemas.microsoft.com/office/drawing/2014/chart" uri="{C3380CC4-5D6E-409C-BE32-E72D297353CC}">
              <c16:uniqueId val="{00000002-0687-FE4C-ACC0-4606D6F6A745}"/>
            </c:ext>
          </c:extLst>
        </c:ser>
        <c:ser>
          <c:idx val="1"/>
          <c:order val="1"/>
          <c:tx>
            <c:strRef>
              <c:f>'Dashboard - CEW Scenario'!$AA$55</c:f>
              <c:strCache>
                <c:ptCount val="1"/>
                <c:pt idx="0">
                  <c:v>Transportation</c:v>
                </c:pt>
              </c:strCache>
            </c:strRef>
          </c:tx>
          <c:spPr>
            <a:solidFill>
              <a:schemeClr val="accent2"/>
            </a:solidFill>
            <a:ln>
              <a:noFill/>
            </a:ln>
            <a:effectLst/>
          </c:spPr>
          <c:cat>
            <c:numRef>
              <c:f>'Dashboard - CEW Scenario'!$AB$53:$BI$53</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'Dashboard - CEW Scenario'!$AB$55:$BI$55</c:f>
              <c:numCache>
                <c:formatCode>_(* #,##0_);_(* \(#,##0\);_(* "-"??_);_(@_)</c:formatCode>
                <c:ptCount val="31"/>
                <c:pt idx="0" formatCode="#,##0">
                  <c:v>3215984.9809550736</c:v>
                </c:pt>
                <c:pt idx="1">
                  <c:v>3034144.1213726811</c:v>
                </c:pt>
                <c:pt idx="2">
                  <c:v>2852303.2617902886</c:v>
                </c:pt>
                <c:pt idx="3">
                  <c:v>2670462.4022078961</c:v>
                </c:pt>
                <c:pt idx="4">
                  <c:v>2488621.5426255036</c:v>
                </c:pt>
                <c:pt idx="5">
                  <c:v>2306780.6830431111</c:v>
                </c:pt>
                <c:pt idx="6">
                  <c:v>2124939.8234607191</c:v>
                </c:pt>
                <c:pt idx="7">
                  <c:v>1943098.9638783266</c:v>
                </c:pt>
                <c:pt idx="8">
                  <c:v>1761258.1042959341</c:v>
                </c:pt>
                <c:pt idx="9">
                  <c:v>1579417.2447135416</c:v>
                </c:pt>
                <c:pt idx="10">
                  <c:v>1397576.3851311491</c:v>
                </c:pt>
                <c:pt idx="11">
                  <c:v>1327697.5658745915</c:v>
                </c:pt>
                <c:pt idx="12">
                  <c:v>1257818.7466180339</c:v>
                </c:pt>
                <c:pt idx="13">
                  <c:v>1187939.9273614765</c:v>
                </c:pt>
                <c:pt idx="14">
                  <c:v>1118061.1081049191</c:v>
                </c:pt>
                <c:pt idx="15">
                  <c:v>1048182.2888483615</c:v>
                </c:pt>
                <c:pt idx="16">
                  <c:v>978303.46959180431</c:v>
                </c:pt>
                <c:pt idx="17">
                  <c:v>908424.6503352467</c:v>
                </c:pt>
                <c:pt idx="18">
                  <c:v>838545.83107868908</c:v>
                </c:pt>
                <c:pt idx="19">
                  <c:v>768667.01182213193</c:v>
                </c:pt>
                <c:pt idx="20">
                  <c:v>698788.19256557478</c:v>
                </c:pt>
                <c:pt idx="21">
                  <c:v>628909.37330901716</c:v>
                </c:pt>
                <c:pt idx="22">
                  <c:v>559030.55405245954</c:v>
                </c:pt>
                <c:pt idx="23">
                  <c:v>489151.73479590239</c:v>
                </c:pt>
                <c:pt idx="24">
                  <c:v>419272.91553934477</c:v>
                </c:pt>
                <c:pt idx="25">
                  <c:v>349394.09628278762</c:v>
                </c:pt>
                <c:pt idx="26">
                  <c:v>279515.27702622954</c:v>
                </c:pt>
                <c:pt idx="27">
                  <c:v>209636.45776967239</c:v>
                </c:pt>
                <c:pt idx="28">
                  <c:v>139757.63851311477</c:v>
                </c:pt>
                <c:pt idx="29">
                  <c:v>69878.819256557617</c:v>
                </c:pt>
                <c:pt idx="30">
                  <c:v>0</c:v>
                </c:pt>
              </c:numCache>
            </c:numRef>
          </c:val>
          <c:extLst>
            <c:ext xmlns:c16="http://schemas.microsoft.com/office/drawing/2014/chart" uri="{C3380CC4-5D6E-409C-BE32-E72D297353CC}">
              <c16:uniqueId val="{00000001-0687-FE4C-ACC0-4606D6F6A745}"/>
            </c:ext>
          </c:extLst>
        </c:ser>
        <c:ser>
          <c:idx val="0"/>
          <c:order val="2"/>
          <c:tx>
            <c:strRef>
              <c:f>'Dashboard - CEW Scenario'!$AA$54</c:f>
              <c:strCache>
                <c:ptCount val="1"/>
                <c:pt idx="0">
                  <c:v>Buildings</c:v>
                </c:pt>
              </c:strCache>
            </c:strRef>
          </c:tx>
          <c:spPr>
            <a:solidFill>
              <a:schemeClr val="accent1"/>
            </a:solidFill>
            <a:ln>
              <a:noFill/>
            </a:ln>
            <a:effectLst/>
          </c:spPr>
          <c:cat>
            <c:numRef>
              <c:f>'Dashboard - CEW Scenario'!$AB$53:$BI$53</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'Dashboard - CEW Scenario'!$AB$54:$BI$54</c:f>
              <c:numCache>
                <c:formatCode>_(* #,##0_);_(* \(#,##0\);_(* "-"??_);_(@_)</c:formatCode>
                <c:ptCount val="31"/>
                <c:pt idx="0" formatCode="#,##0">
                  <c:v>5354200.762373535</c:v>
                </c:pt>
                <c:pt idx="1">
                  <c:v>5070129.4871809958</c:v>
                </c:pt>
                <c:pt idx="2">
                  <c:v>4786058.2119884565</c:v>
                </c:pt>
                <c:pt idx="3">
                  <c:v>4501986.9367959173</c:v>
                </c:pt>
                <c:pt idx="4">
                  <c:v>4217915.6616033781</c:v>
                </c:pt>
                <c:pt idx="5">
                  <c:v>3933844.3864108389</c:v>
                </c:pt>
                <c:pt idx="6">
                  <c:v>3649773.1112182997</c:v>
                </c:pt>
                <c:pt idx="7">
                  <c:v>3365701.8360257605</c:v>
                </c:pt>
                <c:pt idx="8">
                  <c:v>3081630.5608332208</c:v>
                </c:pt>
                <c:pt idx="9">
                  <c:v>2797559.2856406821</c:v>
                </c:pt>
                <c:pt idx="10">
                  <c:v>2513488.0104481429</c:v>
                </c:pt>
                <c:pt idx="11">
                  <c:v>2395020.7610136131</c:v>
                </c:pt>
                <c:pt idx="12">
                  <c:v>2276553.5115790833</c:v>
                </c:pt>
                <c:pt idx="13">
                  <c:v>2158086.2621445535</c:v>
                </c:pt>
                <c:pt idx="14">
                  <c:v>2039619.0127100241</c:v>
                </c:pt>
                <c:pt idx="15">
                  <c:v>1921151.7632754953</c:v>
                </c:pt>
                <c:pt idx="16">
                  <c:v>1802684.5138409645</c:v>
                </c:pt>
                <c:pt idx="17">
                  <c:v>1684217.2644064352</c:v>
                </c:pt>
                <c:pt idx="18">
                  <c:v>1565750.0149719059</c:v>
                </c:pt>
                <c:pt idx="19">
                  <c:v>1447282.7655373765</c:v>
                </c:pt>
                <c:pt idx="20">
                  <c:v>1328815.5161028467</c:v>
                </c:pt>
                <c:pt idx="21">
                  <c:v>1210348.2666683164</c:v>
                </c:pt>
                <c:pt idx="22">
                  <c:v>1091881.0172337871</c:v>
                </c:pt>
                <c:pt idx="23">
                  <c:v>973413.7677992573</c:v>
                </c:pt>
                <c:pt idx="24">
                  <c:v>854946.51836472657</c:v>
                </c:pt>
                <c:pt idx="25">
                  <c:v>736479.26893019769</c:v>
                </c:pt>
                <c:pt idx="26">
                  <c:v>618012.01949566789</c:v>
                </c:pt>
                <c:pt idx="27">
                  <c:v>499544.77006113809</c:v>
                </c:pt>
                <c:pt idx="28">
                  <c:v>381077.52062660735</c:v>
                </c:pt>
                <c:pt idx="29">
                  <c:v>262610.27119207848</c:v>
                </c:pt>
                <c:pt idx="30">
                  <c:v>144143.02175754774</c:v>
                </c:pt>
              </c:numCache>
            </c:numRef>
          </c:val>
          <c:extLst>
            <c:ext xmlns:c16="http://schemas.microsoft.com/office/drawing/2014/chart" uri="{C3380CC4-5D6E-409C-BE32-E72D297353CC}">
              <c16:uniqueId val="{00000000-0687-FE4C-ACC0-4606D6F6A745}"/>
            </c:ext>
          </c:extLst>
        </c:ser>
        <c:dLbls>
          <c:showLegendKey val="0"/>
          <c:showVal val="0"/>
          <c:showCatName val="0"/>
          <c:showSerName val="0"/>
          <c:showPercent val="0"/>
          <c:showBubbleSize val="0"/>
        </c:dLbls>
        <c:axId val="1358515327"/>
        <c:axId val="1376696111"/>
      </c:areaChart>
      <c:catAx>
        <c:axId val="1358515327"/>
        <c:scaling>
          <c:orientation val="minMax"/>
        </c:scaling>
        <c:delete val="0"/>
        <c:axPos val="b"/>
        <c:numFmt formatCode="0"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crossAx val="1376696111"/>
        <c:crosses val="autoZero"/>
        <c:auto val="1"/>
        <c:lblAlgn val="ctr"/>
        <c:lblOffset val="100"/>
        <c:tickLblSkip val="10"/>
        <c:noMultiLvlLbl val="0"/>
      </c:catAx>
      <c:valAx>
        <c:axId val="1376696111"/>
        <c:scaling>
          <c:orientation val="minMax"/>
          <c:max val="9000000"/>
          <c:min val="-5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crossAx val="13585153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800">
          <a:latin typeface="Avenir Book" panose="02000503020000020003" pitchFamily="2"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Portland Pathway</a:t>
            </a:r>
            <a:r>
              <a:rPr lang="en-US" baseline="0"/>
              <a:t> to Net Zero Carbon by 2050 </a:t>
            </a:r>
            <a:endParaRPr lang="en-US"/>
          </a:p>
        </c:rich>
      </c:tx>
      <c:layout>
        <c:manualLayout>
          <c:xMode val="edge"/>
          <c:yMode val="edge"/>
          <c:x val="3.3528844608709626E-2"/>
          <c:y val="3.00404067988611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799078686592748"/>
          <c:y val="0.17326516266391556"/>
          <c:w val="0.79041863517060362"/>
          <c:h val="0.61498432487605714"/>
        </c:manualLayout>
      </c:layout>
      <c:areaChart>
        <c:grouping val="stacked"/>
        <c:varyColors val="0"/>
        <c:ser>
          <c:idx val="0"/>
          <c:order val="1"/>
          <c:tx>
            <c:strRef>
              <c:f>'CEW Calculations'!$V$9</c:f>
              <c:strCache>
                <c:ptCount val="1"/>
                <c:pt idx="0">
                  <c:v>Other</c:v>
                </c:pt>
              </c:strCache>
            </c:strRef>
          </c:tx>
          <c:spPr>
            <a:solidFill>
              <a:schemeClr val="accent1"/>
            </a:solidFill>
            <a:ln w="25400">
              <a:noFill/>
            </a:ln>
            <a:effectLst/>
          </c:spPr>
          <c:cat>
            <c:numRef>
              <c:f>'CEW Calculations'!$W$4:$BA$4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'CEW Calculations'!$W$9:$BA$9</c:f>
              <c:numCache>
                <c:formatCode>_(* #,##0_);_(* \(#,##0\);_(* "-"??_);_(@_)</c:formatCode>
                <c:ptCount val="31"/>
                <c:pt idx="0">
                  <c:v>310010</c:v>
                </c:pt>
                <c:pt idx="1">
                  <c:v>310010</c:v>
                </c:pt>
                <c:pt idx="2">
                  <c:v>310010</c:v>
                </c:pt>
                <c:pt idx="3">
                  <c:v>310010</c:v>
                </c:pt>
                <c:pt idx="4">
                  <c:v>310010</c:v>
                </c:pt>
                <c:pt idx="5">
                  <c:v>310010</c:v>
                </c:pt>
                <c:pt idx="6">
                  <c:v>310010</c:v>
                </c:pt>
                <c:pt idx="7">
                  <c:v>310010</c:v>
                </c:pt>
                <c:pt idx="8">
                  <c:v>310010</c:v>
                </c:pt>
                <c:pt idx="9">
                  <c:v>310010</c:v>
                </c:pt>
                <c:pt idx="10">
                  <c:v>310010</c:v>
                </c:pt>
                <c:pt idx="11">
                  <c:v>294509.5</c:v>
                </c:pt>
                <c:pt idx="12">
                  <c:v>279009</c:v>
                </c:pt>
                <c:pt idx="13">
                  <c:v>263508.5</c:v>
                </c:pt>
                <c:pt idx="14">
                  <c:v>248008</c:v>
                </c:pt>
                <c:pt idx="15">
                  <c:v>232507.5</c:v>
                </c:pt>
                <c:pt idx="16">
                  <c:v>217007</c:v>
                </c:pt>
                <c:pt idx="17">
                  <c:v>201506.5</c:v>
                </c:pt>
                <c:pt idx="18">
                  <c:v>186006</c:v>
                </c:pt>
                <c:pt idx="19">
                  <c:v>170505.5</c:v>
                </c:pt>
                <c:pt idx="20">
                  <c:v>155005</c:v>
                </c:pt>
                <c:pt idx="21">
                  <c:v>139504.5</c:v>
                </c:pt>
                <c:pt idx="22">
                  <c:v>124004</c:v>
                </c:pt>
                <c:pt idx="23">
                  <c:v>108503.5</c:v>
                </c:pt>
                <c:pt idx="24">
                  <c:v>93003</c:v>
                </c:pt>
                <c:pt idx="25">
                  <c:v>77502.5</c:v>
                </c:pt>
                <c:pt idx="26">
                  <c:v>62002</c:v>
                </c:pt>
                <c:pt idx="27">
                  <c:v>46501.5</c:v>
                </c:pt>
                <c:pt idx="28">
                  <c:v>31001</c:v>
                </c:pt>
                <c:pt idx="29">
                  <c:v>15500.5</c:v>
                </c:pt>
                <c:pt idx="30">
                  <c:v>0</c:v>
                </c:pt>
              </c:numCache>
            </c:numRef>
          </c:val>
          <c:extLst>
            <c:ext xmlns:c16="http://schemas.microsoft.com/office/drawing/2014/chart" uri="{C3380CC4-5D6E-409C-BE32-E72D297353CC}">
              <c16:uniqueId val="{00000008-F1F3-4D14-82DF-88A7DF91F3CC}"/>
            </c:ext>
          </c:extLst>
        </c:ser>
        <c:ser>
          <c:idx val="5"/>
          <c:order val="2"/>
          <c:tx>
            <c:strRef>
              <c:f>'CEW Calculations'!$V$8</c:f>
              <c:strCache>
                <c:ptCount val="1"/>
                <c:pt idx="0">
                  <c:v>Industry</c:v>
                </c:pt>
              </c:strCache>
            </c:strRef>
          </c:tx>
          <c:spPr>
            <a:solidFill>
              <a:srgbClr val="F1F100"/>
            </a:solidFill>
            <a:ln w="25400">
              <a:noFill/>
            </a:ln>
            <a:effectLst/>
          </c:spPr>
          <c:cat>
            <c:numRef>
              <c:f>'CEW Calculations'!$W$4:$BA$4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'CEW Calculations'!$W$8:$BA$8</c:f>
              <c:numCache>
                <c:formatCode>_(* #,##0_);_(* \(#,##0\);_(* "-"??_);_(@_)</c:formatCode>
                <c:ptCount val="31"/>
                <c:pt idx="0">
                  <c:v>693391</c:v>
                </c:pt>
                <c:pt idx="1">
                  <c:v>693391</c:v>
                </c:pt>
                <c:pt idx="2">
                  <c:v>693391</c:v>
                </c:pt>
                <c:pt idx="3">
                  <c:v>693391</c:v>
                </c:pt>
                <c:pt idx="4">
                  <c:v>693391</c:v>
                </c:pt>
                <c:pt idx="5">
                  <c:v>693391</c:v>
                </c:pt>
                <c:pt idx="6">
                  <c:v>693391</c:v>
                </c:pt>
                <c:pt idx="7">
                  <c:v>693391</c:v>
                </c:pt>
                <c:pt idx="8">
                  <c:v>693391</c:v>
                </c:pt>
                <c:pt idx="9">
                  <c:v>693391</c:v>
                </c:pt>
                <c:pt idx="10">
                  <c:v>693391</c:v>
                </c:pt>
                <c:pt idx="11">
                  <c:v>658721.44999999995</c:v>
                </c:pt>
                <c:pt idx="12">
                  <c:v>624051.89999999991</c:v>
                </c:pt>
                <c:pt idx="13">
                  <c:v>589382.34999999986</c:v>
                </c:pt>
                <c:pt idx="14">
                  <c:v>554712.79999999981</c:v>
                </c:pt>
                <c:pt idx="15">
                  <c:v>520043.24999999983</c:v>
                </c:pt>
                <c:pt idx="16">
                  <c:v>485373.69999999984</c:v>
                </c:pt>
                <c:pt idx="17">
                  <c:v>450704.14999999985</c:v>
                </c:pt>
                <c:pt idx="18">
                  <c:v>416034.59999999986</c:v>
                </c:pt>
                <c:pt idx="19">
                  <c:v>381365.04999999987</c:v>
                </c:pt>
                <c:pt idx="20">
                  <c:v>346695.49999999988</c:v>
                </c:pt>
                <c:pt idx="21">
                  <c:v>312025.9499999999</c:v>
                </c:pt>
                <c:pt idx="22">
                  <c:v>277356.39999999991</c:v>
                </c:pt>
                <c:pt idx="23">
                  <c:v>242686.84999999992</c:v>
                </c:pt>
                <c:pt idx="24">
                  <c:v>208017.29999999993</c:v>
                </c:pt>
                <c:pt idx="25">
                  <c:v>173347.74999999994</c:v>
                </c:pt>
                <c:pt idx="26">
                  <c:v>138678.19999999995</c:v>
                </c:pt>
                <c:pt idx="27">
                  <c:v>104008.64999999997</c:v>
                </c:pt>
                <c:pt idx="28">
                  <c:v>69339.099999999977</c:v>
                </c:pt>
                <c:pt idx="29">
                  <c:v>34669.549999999988</c:v>
                </c:pt>
                <c:pt idx="30">
                  <c:v>0</c:v>
                </c:pt>
              </c:numCache>
            </c:numRef>
          </c:val>
          <c:extLst>
            <c:ext xmlns:c16="http://schemas.microsoft.com/office/drawing/2014/chart" uri="{C3380CC4-5D6E-409C-BE32-E72D297353CC}">
              <c16:uniqueId val="{00000005-F1F3-4D14-82DF-88A7DF91F3CC}"/>
            </c:ext>
          </c:extLst>
        </c:ser>
        <c:ser>
          <c:idx val="4"/>
          <c:order val="3"/>
          <c:tx>
            <c:strRef>
              <c:f>'CEW Calculations'!$V$7</c:f>
              <c:strCache>
                <c:ptCount val="1"/>
                <c:pt idx="0">
                  <c:v>Transportion</c:v>
                </c:pt>
              </c:strCache>
            </c:strRef>
          </c:tx>
          <c:spPr>
            <a:solidFill>
              <a:schemeClr val="accent4"/>
            </a:solidFill>
            <a:ln w="25400">
              <a:noFill/>
            </a:ln>
            <a:effectLst/>
          </c:spPr>
          <c:cat>
            <c:numRef>
              <c:f>'CEW Calculations'!$W$4:$BA$4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'CEW Calculations'!$W$7:$BA$7</c:f>
              <c:numCache>
                <c:formatCode>_(* #,##0_);_(* \(#,##0\);_(* "-"??_);_(@_)</c:formatCode>
                <c:ptCount val="31"/>
                <c:pt idx="0">
                  <c:v>3215985</c:v>
                </c:pt>
                <c:pt idx="1">
                  <c:v>3034144.1404176075</c:v>
                </c:pt>
                <c:pt idx="2">
                  <c:v>2852303.280835215</c:v>
                </c:pt>
                <c:pt idx="3">
                  <c:v>2670462.4212528225</c:v>
                </c:pt>
                <c:pt idx="4">
                  <c:v>2488621.56167043</c:v>
                </c:pt>
                <c:pt idx="5">
                  <c:v>2306780.7020880375</c:v>
                </c:pt>
                <c:pt idx="6">
                  <c:v>2124939.842505645</c:v>
                </c:pt>
                <c:pt idx="7">
                  <c:v>1943098.9829232525</c:v>
                </c:pt>
                <c:pt idx="8">
                  <c:v>1761258.1233408602</c:v>
                </c:pt>
                <c:pt idx="9">
                  <c:v>1579417.263758468</c:v>
                </c:pt>
                <c:pt idx="10">
                  <c:v>1397576.4041760755</c:v>
                </c:pt>
                <c:pt idx="11">
                  <c:v>1327697.5839672717</c:v>
                </c:pt>
                <c:pt idx="12">
                  <c:v>1257818.763758468</c:v>
                </c:pt>
                <c:pt idx="13">
                  <c:v>1187939.9435496642</c:v>
                </c:pt>
                <c:pt idx="14">
                  <c:v>1118061.1233408605</c:v>
                </c:pt>
                <c:pt idx="15">
                  <c:v>1048182.3031320567</c:v>
                </c:pt>
                <c:pt idx="16">
                  <c:v>978303.48292325297</c:v>
                </c:pt>
                <c:pt idx="17">
                  <c:v>908424.66271444922</c:v>
                </c:pt>
                <c:pt idx="18">
                  <c:v>838545.84250564547</c:v>
                </c:pt>
                <c:pt idx="19">
                  <c:v>768667.02229684172</c:v>
                </c:pt>
                <c:pt idx="20">
                  <c:v>698788.20208803797</c:v>
                </c:pt>
                <c:pt idx="21">
                  <c:v>628909.38187923422</c:v>
                </c:pt>
                <c:pt idx="22">
                  <c:v>559030.56167043047</c:v>
                </c:pt>
                <c:pt idx="23">
                  <c:v>489151.74146162666</c:v>
                </c:pt>
                <c:pt idx="24">
                  <c:v>419272.92125282285</c:v>
                </c:pt>
                <c:pt idx="25">
                  <c:v>349394.10104401904</c:v>
                </c:pt>
                <c:pt idx="26">
                  <c:v>279515.28083521524</c:v>
                </c:pt>
                <c:pt idx="27">
                  <c:v>209636.46062641143</c:v>
                </c:pt>
                <c:pt idx="28">
                  <c:v>139757.64041760762</c:v>
                </c:pt>
                <c:pt idx="29">
                  <c:v>69878.820208803809</c:v>
                </c:pt>
                <c:pt idx="30">
                  <c:v>0</c:v>
                </c:pt>
              </c:numCache>
            </c:numRef>
          </c:val>
          <c:extLst>
            <c:ext xmlns:c16="http://schemas.microsoft.com/office/drawing/2014/chart" uri="{C3380CC4-5D6E-409C-BE32-E72D297353CC}">
              <c16:uniqueId val="{00000004-F1F3-4D14-82DF-88A7DF91F3CC}"/>
            </c:ext>
          </c:extLst>
        </c:ser>
        <c:ser>
          <c:idx val="3"/>
          <c:order val="4"/>
          <c:tx>
            <c:strRef>
              <c:f>'CEW Calculations'!$V$6</c:f>
              <c:strCache>
                <c:ptCount val="1"/>
                <c:pt idx="0">
                  <c:v>Buildings</c:v>
                </c:pt>
              </c:strCache>
            </c:strRef>
          </c:tx>
          <c:spPr>
            <a:solidFill>
              <a:schemeClr val="accent2"/>
            </a:solidFill>
            <a:ln>
              <a:noFill/>
            </a:ln>
            <a:effectLst/>
          </c:spPr>
          <c:cat>
            <c:numRef>
              <c:f>'CEW Calculations'!$W$4:$BA$4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'CEW Calculations'!$W$6:$BA$6</c:f>
              <c:numCache>
                <c:formatCode>_(* #,##0_);_(* \(#,##0\);_(* "-"??_);_(@_)</c:formatCode>
                <c:ptCount val="31"/>
                <c:pt idx="0">
                  <c:v>1333179</c:v>
                </c:pt>
                <c:pt idx="1">
                  <c:v>1281935.8419768268</c:v>
                </c:pt>
                <c:pt idx="2">
                  <c:v>1230692.6839536536</c:v>
                </c:pt>
                <c:pt idx="3">
                  <c:v>1179449.5259304803</c:v>
                </c:pt>
                <c:pt idx="4">
                  <c:v>1128206.3679073071</c:v>
                </c:pt>
                <c:pt idx="5">
                  <c:v>1076963.2098841339</c:v>
                </c:pt>
                <c:pt idx="6">
                  <c:v>1025720.0518609608</c:v>
                </c:pt>
                <c:pt idx="7">
                  <c:v>974476.89383778768</c:v>
                </c:pt>
                <c:pt idx="8">
                  <c:v>923233.73581461457</c:v>
                </c:pt>
                <c:pt idx="9">
                  <c:v>871990.57779144146</c:v>
                </c:pt>
                <c:pt idx="10">
                  <c:v>820747.41976826836</c:v>
                </c:pt>
                <c:pt idx="11">
                  <c:v>779710.0487798549</c:v>
                </c:pt>
                <c:pt idx="12">
                  <c:v>738672.67779144144</c:v>
                </c:pt>
                <c:pt idx="13">
                  <c:v>697635.30680302798</c:v>
                </c:pt>
                <c:pt idx="14">
                  <c:v>656597.93581461452</c:v>
                </c:pt>
                <c:pt idx="15">
                  <c:v>615560.56482620107</c:v>
                </c:pt>
                <c:pt idx="16">
                  <c:v>574523.19383778761</c:v>
                </c:pt>
                <c:pt idx="17">
                  <c:v>533485.82284937426</c:v>
                </c:pt>
                <c:pt idx="18">
                  <c:v>492448.45186096086</c:v>
                </c:pt>
                <c:pt idx="19">
                  <c:v>451411.08087254746</c:v>
                </c:pt>
                <c:pt idx="20">
                  <c:v>410373.70988413406</c:v>
                </c:pt>
                <c:pt idx="21">
                  <c:v>369336.33889572066</c:v>
                </c:pt>
                <c:pt idx="22">
                  <c:v>328298.96790730726</c:v>
                </c:pt>
                <c:pt idx="23">
                  <c:v>287261.59691889386</c:v>
                </c:pt>
                <c:pt idx="24">
                  <c:v>246224.22593048046</c:v>
                </c:pt>
                <c:pt idx="25">
                  <c:v>205186.85494206706</c:v>
                </c:pt>
                <c:pt idx="26">
                  <c:v>164149.48395365366</c:v>
                </c:pt>
                <c:pt idx="27">
                  <c:v>123112.11296524025</c:v>
                </c:pt>
                <c:pt idx="28">
                  <c:v>82074.74197682683</c:v>
                </c:pt>
                <c:pt idx="29">
                  <c:v>41037.370988413415</c:v>
                </c:pt>
                <c:pt idx="30">
                  <c:v>0</c:v>
                </c:pt>
              </c:numCache>
            </c:numRef>
          </c:val>
          <c:extLst>
            <c:ext xmlns:c16="http://schemas.microsoft.com/office/drawing/2014/chart" uri="{C3380CC4-5D6E-409C-BE32-E72D297353CC}">
              <c16:uniqueId val="{00000003-F1F3-4D14-82DF-88A7DF91F3CC}"/>
            </c:ext>
          </c:extLst>
        </c:ser>
        <c:ser>
          <c:idx val="2"/>
          <c:order val="5"/>
          <c:tx>
            <c:strRef>
              <c:f>'CEW Calculations'!$V$5</c:f>
              <c:strCache>
                <c:ptCount val="1"/>
                <c:pt idx="0">
                  <c:v>Energy Supply</c:v>
                </c:pt>
              </c:strCache>
            </c:strRef>
          </c:tx>
          <c:spPr>
            <a:solidFill>
              <a:srgbClr val="FF0000"/>
            </a:solidFill>
            <a:ln>
              <a:noFill/>
            </a:ln>
            <a:effectLst/>
          </c:spPr>
          <c:cat>
            <c:numRef>
              <c:f>'CEW Calculations'!$W$4:$BA$4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'CEW Calculations'!$W$5:$BA$5</c:f>
              <c:numCache>
                <c:formatCode>_(* #,##0_);_(* \(#,##0\);_(* "-"??_);_(@_)</c:formatCode>
                <c:ptCount val="31"/>
                <c:pt idx="0">
                  <c:v>3327630</c:v>
                </c:pt>
                <c:pt idx="1">
                  <c:v>3094801.8828306338</c:v>
                </c:pt>
                <c:pt idx="2">
                  <c:v>2861973.7656612676</c:v>
                </c:pt>
                <c:pt idx="3">
                  <c:v>2629145.6484919013</c:v>
                </c:pt>
                <c:pt idx="4">
                  <c:v>2396317.5313225356</c:v>
                </c:pt>
                <c:pt idx="5">
                  <c:v>2163489.4141531698</c:v>
                </c:pt>
                <c:pt idx="6">
                  <c:v>1930661.2969838039</c:v>
                </c:pt>
                <c:pt idx="7">
                  <c:v>1697833.1798144379</c:v>
                </c:pt>
                <c:pt idx="8">
                  <c:v>1465005.0626450719</c:v>
                </c:pt>
                <c:pt idx="9">
                  <c:v>1232176.9454757059</c:v>
                </c:pt>
                <c:pt idx="10">
                  <c:v>999348.82830633968</c:v>
                </c:pt>
                <c:pt idx="11">
                  <c:v>949381.38689102267</c:v>
                </c:pt>
                <c:pt idx="12">
                  <c:v>899413.94547570567</c:v>
                </c:pt>
                <c:pt idx="13">
                  <c:v>849446.50406038866</c:v>
                </c:pt>
                <c:pt idx="14">
                  <c:v>799479.06264507165</c:v>
                </c:pt>
                <c:pt idx="15">
                  <c:v>749511.62122975464</c:v>
                </c:pt>
                <c:pt idx="16">
                  <c:v>699544.17981443764</c:v>
                </c:pt>
                <c:pt idx="17">
                  <c:v>649576.73839912063</c:v>
                </c:pt>
                <c:pt idx="18">
                  <c:v>599609.29698380362</c:v>
                </c:pt>
                <c:pt idx="19">
                  <c:v>549641.85556848662</c:v>
                </c:pt>
                <c:pt idx="20">
                  <c:v>499674.41415316967</c:v>
                </c:pt>
                <c:pt idx="21">
                  <c:v>449706.97273785272</c:v>
                </c:pt>
                <c:pt idx="22">
                  <c:v>399739.53132253577</c:v>
                </c:pt>
                <c:pt idx="23">
                  <c:v>349772.08990721882</c:v>
                </c:pt>
                <c:pt idx="24">
                  <c:v>299804.64849190187</c:v>
                </c:pt>
                <c:pt idx="25">
                  <c:v>249837.20707658489</c:v>
                </c:pt>
                <c:pt idx="26">
                  <c:v>199869.76566126791</c:v>
                </c:pt>
                <c:pt idx="27">
                  <c:v>149902.32424595093</c:v>
                </c:pt>
                <c:pt idx="28">
                  <c:v>99934.882830633956</c:v>
                </c:pt>
                <c:pt idx="29">
                  <c:v>49967.441415316978</c:v>
                </c:pt>
                <c:pt idx="30">
                  <c:v>0</c:v>
                </c:pt>
              </c:numCache>
            </c:numRef>
          </c:val>
          <c:extLst>
            <c:ext xmlns:c16="http://schemas.microsoft.com/office/drawing/2014/chart" uri="{C3380CC4-5D6E-409C-BE32-E72D297353CC}">
              <c16:uniqueId val="{00000002-F1F3-4D14-82DF-88A7DF91F3CC}"/>
            </c:ext>
          </c:extLst>
        </c:ser>
        <c:dLbls>
          <c:showLegendKey val="0"/>
          <c:showVal val="0"/>
          <c:showCatName val="0"/>
          <c:showSerName val="0"/>
          <c:showPercent val="0"/>
          <c:showBubbleSize val="0"/>
        </c:dLbls>
        <c:axId val="844180432"/>
        <c:axId val="844181416"/>
        <c:extLst>
          <c:ext xmlns:c15="http://schemas.microsoft.com/office/drawing/2012/chart" uri="{02D57815-91ED-43cb-92C2-25804820EDAC}">
            <c15:filteredAreaSeries>
              <c15:ser>
                <c:idx val="1"/>
                <c:order val="0"/>
                <c:tx>
                  <c:strRef>
                    <c:extLst>
                      <c:ext uri="{02D57815-91ED-43cb-92C2-25804820EDAC}">
                        <c15:formulaRef>
                          <c15:sqref>'CEW Calculations'!$V$4</c15:sqref>
                        </c15:formulaRef>
                      </c:ext>
                    </c:extLst>
                    <c:strCache>
                      <c:ptCount val="1"/>
                      <c:pt idx="0">
                        <c:v>Sector</c:v>
                      </c:pt>
                    </c:strCache>
                  </c:strRef>
                </c:tx>
                <c:spPr>
                  <a:solidFill>
                    <a:schemeClr val="accent2"/>
                  </a:solidFill>
                  <a:ln>
                    <a:noFill/>
                  </a:ln>
                  <a:effectLst/>
                </c:spPr>
                <c:cat>
                  <c:numRef>
                    <c:extLst>
                      <c:ext uri="{02D57815-91ED-43cb-92C2-25804820EDAC}">
                        <c15:formulaRef>
                          <c15:sqref>'CEW Calculations'!$W$4:$BA$4</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uri="{02D57815-91ED-43cb-92C2-25804820EDAC}">
                        <c15:formulaRef>
                          <c15:sqref>'CEW Calculations'!$W$4:$BA$4</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val>
                <c:extLst>
                  <c:ext xmlns:c16="http://schemas.microsoft.com/office/drawing/2014/chart" uri="{C3380CC4-5D6E-409C-BE32-E72D297353CC}">
                    <c16:uniqueId val="{00000001-F1F3-4D14-82DF-88A7DF91F3CC}"/>
                  </c:ext>
                </c:extLst>
              </c15:ser>
            </c15:filteredAreaSeries>
          </c:ext>
        </c:extLst>
      </c:areaChart>
      <c:catAx>
        <c:axId val="844180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81416"/>
        <c:crosses val="autoZero"/>
        <c:auto val="1"/>
        <c:lblAlgn val="ctr"/>
        <c:lblOffset val="100"/>
        <c:noMultiLvlLbl val="0"/>
      </c:catAx>
      <c:valAx>
        <c:axId val="844181416"/>
        <c:scaling>
          <c:orientation val="minMax"/>
          <c:max val="9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804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Roboto" pitchFamily="2" charset="0"/>
                <a:ea typeface="Roboto" pitchFamily="2" charset="0"/>
                <a:cs typeface="+mn-cs"/>
              </a:defRPr>
            </a:pPr>
            <a:r>
              <a:rPr lang="en-US" sz="1800" b="1">
                <a:solidFill>
                  <a:sysClr val="windowText" lastClr="000000"/>
                </a:solidFill>
              </a:rPr>
              <a:t>Building GHG</a:t>
            </a:r>
            <a:r>
              <a:rPr lang="en-US" sz="1800" b="1" baseline="0">
                <a:solidFill>
                  <a:sysClr val="windowText" lastClr="000000"/>
                </a:solidFill>
              </a:rPr>
              <a:t> Emissions</a:t>
            </a:r>
            <a:r>
              <a:rPr lang="en-US" sz="1800" b="1">
                <a:solidFill>
                  <a:sysClr val="windowText" lastClr="000000"/>
                </a:solidFill>
              </a:rPr>
              <a:t> Trends</a:t>
            </a:r>
          </a:p>
        </c:rich>
      </c:tx>
      <c:overlay val="0"/>
      <c:spPr>
        <a:noFill/>
        <a:ln w="25400">
          <a:noFill/>
        </a:ln>
      </c:spPr>
    </c:title>
    <c:autoTitleDeleted val="0"/>
    <c:plotArea>
      <c:layout/>
      <c:areaChart>
        <c:grouping val="stacked"/>
        <c:varyColors val="0"/>
        <c:ser>
          <c:idx val="0"/>
          <c:order val="0"/>
          <c:tx>
            <c:v>Existing Buildings
Total Emissions</c:v>
          </c:tx>
          <c:spPr>
            <a:solidFill>
              <a:schemeClr val="bg2">
                <a:lumMod val="75000"/>
              </a:schemeClr>
            </a:solidFill>
            <a:ln>
              <a:noFill/>
            </a:ln>
            <a:effectLst/>
          </c:spPr>
          <c:cat>
            <c:numLit>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Lit>
          </c:cat>
          <c:val>
            <c:numLit>
              <c:formatCode>General</c:formatCode>
              <c:ptCount val="34"/>
              <c:pt idx="0">
                <c:v>3531955.8659639158</c:v>
              </c:pt>
              <c:pt idx="1">
                <c:v>3309243.5565907932</c:v>
              </c:pt>
              <c:pt idx="2">
                <c:v>3179271.2477834448</c:v>
              </c:pt>
              <c:pt idx="3">
                <c:v>3032228.732312981</c:v>
              </c:pt>
              <c:pt idx="4">
                <c:v>2843912.8405860928</c:v>
              </c:pt>
              <c:pt idx="5">
                <c:v>2881923.0501721008</c:v>
              </c:pt>
              <c:pt idx="6">
                <c:v>2814804.5083746258</c:v>
              </c:pt>
              <c:pt idx="7">
                <c:v>2590442.1577875824</c:v>
              </c:pt>
              <c:pt idx="8">
                <c:v>2550355.1393052088</c:v>
              </c:pt>
              <c:pt idx="9">
                <c:v>2545684.4340672055</c:v>
              </c:pt>
              <c:pt idx="10">
                <c:v>2531812.0933390437</c:v>
              </c:pt>
              <c:pt idx="11">
                <c:v>2414919.5574559248</c:v>
              </c:pt>
              <c:pt idx="12">
                <c:v>2398867.5408263374</c:v>
              </c:pt>
              <c:pt idx="13">
                <c:v>1960391.954072631</c:v>
              </c:pt>
              <c:pt idx="14">
                <c:v>1881953.0670007288</c:v>
              </c:pt>
              <c:pt idx="15">
                <c:v>1796849.4063183796</c:v>
              </c:pt>
              <c:pt idx="16">
                <c:v>1698287.6933703846</c:v>
              </c:pt>
              <c:pt idx="17">
                <c:v>1620398.3732118066</c:v>
              </c:pt>
              <c:pt idx="18">
                <c:v>1538150.4940395078</c:v>
              </c:pt>
              <c:pt idx="19">
                <c:v>1502208.8423642758</c:v>
              </c:pt>
              <c:pt idx="20">
                <c:v>1500272.2592742122</c:v>
              </c:pt>
              <c:pt idx="21">
                <c:v>1466686.2800910571</c:v>
              </c:pt>
              <c:pt idx="22">
                <c:v>1412864.0927056561</c:v>
              </c:pt>
              <c:pt idx="23">
                <c:v>1395212.4876172938</c:v>
              </c:pt>
              <c:pt idx="24">
                <c:v>1401141.9463249675</c:v>
              </c:pt>
              <c:pt idx="25">
                <c:v>1391305.4043437752</c:v>
              </c:pt>
              <c:pt idx="26">
                <c:v>1381472.6107247823</c:v>
              </c:pt>
              <c:pt idx="27">
                <c:v>1347008.206654402</c:v>
              </c:pt>
              <c:pt idx="28">
                <c:v>1343930.111051681</c:v>
              </c:pt>
              <c:pt idx="29">
                <c:v>1302878.3936849367</c:v>
              </c:pt>
              <c:pt idx="30">
                <c:v>1297599.602415625</c:v>
              </c:pt>
              <c:pt idx="31">
                <c:v>1298991.8281665831</c:v>
              </c:pt>
              <c:pt idx="32">
                <c:v>1293688.9263891568</c:v>
              </c:pt>
              <c:pt idx="33">
                <c:v>1288379.5387307899</c:v>
              </c:pt>
            </c:numLit>
          </c:val>
          <c:extLst>
            <c:ext xmlns:c16="http://schemas.microsoft.com/office/drawing/2014/chart" uri="{C3380CC4-5D6E-409C-BE32-E72D297353CC}">
              <c16:uniqueId val="{00000000-4685-B545-8620-D37AC70AF475}"/>
            </c:ext>
          </c:extLst>
        </c:ser>
        <c:ser>
          <c:idx val="1"/>
          <c:order val="1"/>
          <c:tx>
            <c:v>New Construction
Total Emissions</c:v>
          </c:tx>
          <c:spPr>
            <a:solidFill>
              <a:srgbClr val="0089BD"/>
            </a:solidFill>
            <a:ln w="25400">
              <a:noFill/>
            </a:ln>
          </c:spPr>
          <c:cat>
            <c:numLit>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Lit>
          </c:cat>
          <c:val>
            <c:numLit>
              <c:formatCode>General</c:formatCode>
              <c:ptCount val="34"/>
              <c:pt idx="1">
                <c:v>32264.427197093431</c:v>
              </c:pt>
              <c:pt idx="2">
                <c:v>62118.355989592892</c:v>
              </c:pt>
              <c:pt idx="3">
                <c:v>89026.905441760624</c:v>
              </c:pt>
              <c:pt idx="4">
                <c:v>105173.77841792208</c:v>
              </c:pt>
              <c:pt idx="5">
                <c:v>133630.9828516749</c:v>
              </c:pt>
              <c:pt idx="6">
                <c:v>156965.67429498385</c:v>
              </c:pt>
              <c:pt idx="7">
                <c:v>168637.6915848917</c:v>
              </c:pt>
              <c:pt idx="8">
                <c:v>190188.72022038224</c:v>
              </c:pt>
              <c:pt idx="9">
                <c:v>214150.20485450319</c:v>
              </c:pt>
              <c:pt idx="10">
                <c:v>237269.28848046623</c:v>
              </c:pt>
              <c:pt idx="11">
                <c:v>249298.1365826434</c:v>
              </c:pt>
              <c:pt idx="12">
                <c:v>270853.63437702914</c:v>
              </c:pt>
              <c:pt idx="13">
                <c:v>238819.74318498239</c:v>
              </c:pt>
              <c:pt idx="14">
                <c:v>247187.70631031462</c:v>
              </c:pt>
              <c:pt idx="15">
                <c:v>253083.41385736089</c:v>
              </c:pt>
              <c:pt idx="16">
                <c:v>255220.91870564566</c:v>
              </c:pt>
              <c:pt idx="17">
                <c:v>258880.1049048547</c:v>
              </c:pt>
              <c:pt idx="18">
                <c:v>260238.10126205196</c:v>
              </c:pt>
              <c:pt idx="19">
                <c:v>268680.97117891733</c:v>
              </c:pt>
              <c:pt idx="20">
                <c:v>283211.594798323</c:v>
              </c:pt>
              <c:pt idx="21">
                <c:v>291158.70030566986</c:v>
              </c:pt>
              <c:pt idx="22">
                <c:v>294021.28692075581</c:v>
              </c:pt>
              <c:pt idx="23">
                <c:v>304159.39094556973</c:v>
              </c:pt>
              <c:pt idx="24">
                <c:v>319694.0116318519</c:v>
              </c:pt>
              <c:pt idx="25">
                <c:v>331457.96375456773</c:v>
              </c:pt>
              <c:pt idx="26">
                <c:v>343089.66957220703</c:v>
              </c:pt>
              <c:pt idx="27">
                <c:v>347827.24063067348</c:v>
              </c:pt>
              <c:pt idx="28">
                <c:v>360844.65297737211</c:v>
              </c:pt>
              <c:pt idx="29">
                <c:v>362607.89579333999</c:v>
              </c:pt>
              <c:pt idx="30">
                <c:v>374545.92724740726</c:v>
              </c:pt>
              <c:pt idx="31">
                <c:v>388573.96123249398</c:v>
              </c:pt>
              <c:pt idx="32">
                <c:v>400500.3429717744</c:v>
              </c:pt>
              <c:pt idx="33">
                <c:v>412384.232123981</c:v>
              </c:pt>
            </c:numLit>
          </c:val>
          <c:extLst>
            <c:ext xmlns:c16="http://schemas.microsoft.com/office/drawing/2014/chart" uri="{C3380CC4-5D6E-409C-BE32-E72D297353CC}">
              <c16:uniqueId val="{00000001-4685-B545-8620-D37AC70AF475}"/>
            </c:ext>
          </c:extLst>
        </c:ser>
        <c:dLbls>
          <c:showLegendKey val="0"/>
          <c:showVal val="0"/>
          <c:showCatName val="0"/>
          <c:showSerName val="0"/>
          <c:showPercent val="0"/>
          <c:showBubbleSize val="0"/>
        </c:dLbls>
        <c:axId val="509499759"/>
        <c:axId val="1"/>
      </c:areaChart>
      <c:lineChart>
        <c:grouping val="standard"/>
        <c:varyColors val="0"/>
        <c:ser>
          <c:idx val="2"/>
          <c:order val="2"/>
          <c:tx>
            <c:v>Blended Weighted Electricity Emissions Factor</c:v>
          </c:tx>
          <c:spPr>
            <a:ln w="31750" cap="rnd">
              <a:solidFill>
                <a:srgbClr val="6C8766"/>
              </a:solidFill>
              <a:prstDash val="sysDot"/>
              <a:round/>
            </a:ln>
            <a:effectLst/>
          </c:spPr>
          <c:marker>
            <c:symbol val="circle"/>
            <c:size val="5"/>
            <c:spPr>
              <a:noFill/>
              <a:ln w="6350">
                <a:noFill/>
              </a:ln>
            </c:spPr>
          </c:marker>
          <c:cat>
            <c:numLit>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Lit>
          </c:cat>
          <c:val>
            <c:numLit>
              <c:formatCode>General</c:formatCode>
              <c:ptCount val="34"/>
              <c:pt idx="0">
                <c:v>0.14627061526363322</c:v>
              </c:pt>
              <c:pt idx="1">
                <c:v>0.13450844386929087</c:v>
              </c:pt>
              <c:pt idx="2">
                <c:v>0.1277173538903551</c:v>
              </c:pt>
              <c:pt idx="3">
                <c:v>0.11999377823096258</c:v>
              </c:pt>
              <c:pt idx="4">
                <c:v>0.11002810615695252</c:v>
              </c:pt>
              <c:pt idx="5">
                <c:v>0.11227020257157005</c:v>
              </c:pt>
              <c:pt idx="6">
                <c:v>0.10883332178426744</c:v>
              </c:pt>
              <c:pt idx="7">
                <c:v>9.6875474239640658E-2</c:v>
              </c:pt>
              <c:pt idx="8">
                <c:v>9.4882499648869537E-2</c:v>
              </c:pt>
              <c:pt idx="9">
                <c:v>9.4809290529637574E-2</c:v>
              </c:pt>
              <c:pt idx="10">
                <c:v>9.4237837762712828E-2</c:v>
              </c:pt>
              <c:pt idx="11">
                <c:v>8.8061143959244303E-2</c:v>
              </c:pt>
              <c:pt idx="12">
                <c:v>8.7365130280396372E-2</c:v>
              </c:pt>
              <c:pt idx="13">
                <c:v>6.3625347895757259E-2</c:v>
              </c:pt>
              <c:pt idx="14">
                <c:v>5.949245342960674E-2</c:v>
              </c:pt>
              <c:pt idx="15">
                <c:v>5.4985876227686623E-2</c:v>
              </c:pt>
              <c:pt idx="16">
                <c:v>4.9731933554227337E-2</c:v>
              </c:pt>
              <c:pt idx="17">
                <c:v>4.5599039088076818E-2</c:v>
              </c:pt>
              <c:pt idx="18">
                <c:v>4.12170227980799E-2</c:v>
              </c:pt>
              <c:pt idx="19">
                <c:v>3.9370466445772676E-2</c:v>
              </c:pt>
              <c:pt idx="20">
                <c:v>3.9392323772313387E-2</c:v>
              </c:pt>
              <c:pt idx="21">
                <c:v>3.7670328331929369E-2</c:v>
              </c:pt>
              <c:pt idx="22">
                <c:v>3.4827284684236584E-2</c:v>
              </c:pt>
              <c:pt idx="23">
                <c:v>3.3977215627314934E-2</c:v>
              </c:pt>
              <c:pt idx="24">
                <c:v>3.4431481098854105E-2</c:v>
              </c:pt>
              <c:pt idx="25">
                <c:v>3.4013820186930908E-2</c:v>
              </c:pt>
              <c:pt idx="26">
                <c:v>3.3596159275007711E-2</c:v>
              </c:pt>
              <c:pt idx="27">
                <c:v>3.180832833192937E-2</c:v>
              </c:pt>
              <c:pt idx="28">
                <c:v>3.1764350155775757E-2</c:v>
              </c:pt>
              <c:pt idx="29">
                <c:v>2.9602836476927824E-2</c:v>
              </c:pt>
              <c:pt idx="30">
                <c:v>2.9434297388851019E-2</c:v>
              </c:pt>
              <c:pt idx="31">
                <c:v>2.9639441036543798E-2</c:v>
              </c:pt>
              <c:pt idx="32">
                <c:v>2.9470901948466993E-2</c:v>
              </c:pt>
              <c:pt idx="33">
                <c:v>2.9302362860390195E-2</c:v>
              </c:pt>
            </c:numLit>
          </c:val>
          <c:smooth val="0"/>
          <c:extLst>
            <c:ext xmlns:c16="http://schemas.microsoft.com/office/drawing/2014/chart" uri="{C3380CC4-5D6E-409C-BE32-E72D297353CC}">
              <c16:uniqueId val="{00000002-4685-B545-8620-D37AC70AF475}"/>
            </c:ext>
          </c:extLst>
        </c:ser>
        <c:ser>
          <c:idx val="3"/>
          <c:order val="3"/>
          <c:tx>
            <c:v>Natural Gas Emissions Factor</c:v>
          </c:tx>
          <c:spPr>
            <a:ln w="31750" cap="rnd">
              <a:solidFill>
                <a:srgbClr val="E99A5C"/>
              </a:solidFill>
              <a:prstDash val="sysDot"/>
              <a:round/>
            </a:ln>
            <a:effectLst/>
          </c:spPr>
          <c:marker>
            <c:symbol val="circle"/>
            <c:size val="5"/>
            <c:spPr>
              <a:noFill/>
              <a:ln w="6350">
                <a:noFill/>
              </a:ln>
            </c:spPr>
          </c:marker>
          <c:cat>
            <c:numLit>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Lit>
          </c:cat>
          <c:val>
            <c:numLit>
              <c:formatCode>General</c:formatCode>
              <c:ptCount val="34"/>
              <c:pt idx="0">
                <c:v>5.3069999999999999E-2</c:v>
              </c:pt>
              <c:pt idx="1">
                <c:v>5.3069999999999999E-2</c:v>
              </c:pt>
              <c:pt idx="2">
                <c:v>5.3069999999999999E-2</c:v>
              </c:pt>
              <c:pt idx="3">
                <c:v>5.3069999999999999E-2</c:v>
              </c:pt>
              <c:pt idx="4">
                <c:v>5.3069999999999999E-2</c:v>
              </c:pt>
              <c:pt idx="5">
                <c:v>5.3069999999999999E-2</c:v>
              </c:pt>
              <c:pt idx="6">
                <c:v>5.3069999999999999E-2</c:v>
              </c:pt>
              <c:pt idx="7">
                <c:v>5.3069999999999999E-2</c:v>
              </c:pt>
              <c:pt idx="8">
                <c:v>5.3069999999999999E-2</c:v>
              </c:pt>
              <c:pt idx="9">
                <c:v>5.3069999999999999E-2</c:v>
              </c:pt>
              <c:pt idx="10">
                <c:v>5.3069999999999999E-2</c:v>
              </c:pt>
              <c:pt idx="11">
                <c:v>5.3069999999999999E-2</c:v>
              </c:pt>
              <c:pt idx="12">
                <c:v>5.3069999999999999E-2</c:v>
              </c:pt>
              <c:pt idx="13">
                <c:v>5.3069999999999999E-2</c:v>
              </c:pt>
              <c:pt idx="14">
                <c:v>5.3069999999999999E-2</c:v>
              </c:pt>
              <c:pt idx="15">
                <c:v>5.3069999999999999E-2</c:v>
              </c:pt>
              <c:pt idx="16">
                <c:v>5.3069999999999999E-2</c:v>
              </c:pt>
              <c:pt idx="17">
                <c:v>5.3069999999999999E-2</c:v>
              </c:pt>
              <c:pt idx="18">
                <c:v>5.3069999999999999E-2</c:v>
              </c:pt>
              <c:pt idx="19">
                <c:v>5.3069999999999999E-2</c:v>
              </c:pt>
              <c:pt idx="20">
                <c:v>5.3069999999999999E-2</c:v>
              </c:pt>
              <c:pt idx="21">
                <c:v>5.3069999999999999E-2</c:v>
              </c:pt>
              <c:pt idx="22">
                <c:v>5.3069999999999999E-2</c:v>
              </c:pt>
              <c:pt idx="23">
                <c:v>5.3069999999999999E-2</c:v>
              </c:pt>
              <c:pt idx="24">
                <c:v>5.3069999999999999E-2</c:v>
              </c:pt>
              <c:pt idx="25">
                <c:v>5.3069999999999999E-2</c:v>
              </c:pt>
              <c:pt idx="26">
                <c:v>5.3069999999999999E-2</c:v>
              </c:pt>
              <c:pt idx="27">
                <c:v>5.3069999999999999E-2</c:v>
              </c:pt>
              <c:pt idx="28">
                <c:v>5.3069999999999999E-2</c:v>
              </c:pt>
              <c:pt idx="29">
                <c:v>5.3069999999999999E-2</c:v>
              </c:pt>
              <c:pt idx="30">
                <c:v>5.3069999999999999E-2</c:v>
              </c:pt>
              <c:pt idx="31">
                <c:v>5.3069999999999999E-2</c:v>
              </c:pt>
              <c:pt idx="32">
                <c:v>5.3069999999999999E-2</c:v>
              </c:pt>
              <c:pt idx="33">
                <c:v>5.3069999999999999E-2</c:v>
              </c:pt>
            </c:numLit>
          </c:val>
          <c:smooth val="0"/>
          <c:extLst>
            <c:ext xmlns:c16="http://schemas.microsoft.com/office/drawing/2014/chart" uri="{C3380CC4-5D6E-409C-BE32-E72D297353CC}">
              <c16:uniqueId val="{00000003-4685-B545-8620-D37AC70AF475}"/>
            </c:ext>
          </c:extLst>
        </c:ser>
        <c:dLbls>
          <c:showLegendKey val="0"/>
          <c:showVal val="0"/>
          <c:showCatName val="0"/>
          <c:showSerName val="0"/>
          <c:showPercent val="0"/>
          <c:showBubbleSize val="0"/>
        </c:dLbls>
        <c:marker val="1"/>
        <c:smooth val="0"/>
        <c:axId val="3"/>
        <c:axId val="4"/>
      </c:lineChart>
      <c:catAx>
        <c:axId val="509499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
        <c:crosses val="autoZero"/>
        <c:auto val="1"/>
        <c:lblAlgn val="ctr"/>
        <c:lblOffset val="100"/>
        <c:noMultiLvlLbl val="0"/>
      </c:catAx>
      <c:valAx>
        <c:axId val="1"/>
        <c:scaling>
          <c:orientation val="minMax"/>
          <c:min val="0"/>
        </c:scaling>
        <c:delete val="0"/>
        <c:axPos val="l"/>
        <c:majorGridlines>
          <c:spPr>
            <a:ln w="9525" cap="flat" cmpd="sng" algn="ctr">
              <a:solidFill>
                <a:srgbClr val="D9D9D9"/>
              </a:solidFill>
              <a:prstDash val="sysDash"/>
              <a:round/>
            </a:ln>
            <a:effectLst/>
          </c:spPr>
        </c:majorGridlines>
        <c:numFmt formatCode="#,##0" sourceLinked="0"/>
        <c:majorTickMark val="none"/>
        <c:minorTickMark val="none"/>
        <c:tickLblPos val="nextTo"/>
        <c:spPr>
          <a:ln w="6350">
            <a:noFill/>
          </a:ln>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509499759"/>
        <c:crosses val="autoZero"/>
        <c:crossBetween val="between"/>
        <c:dispUnits>
          <c:builtInUnit val="thousands"/>
          <c:dispUnitsLbl>
            <c:layout>
              <c:manualLayout>
                <c:xMode val="edge"/>
                <c:yMode val="edge"/>
                <c:x val="1.198626394098214E-2"/>
                <c:y val="9.6568081428845778E-2"/>
              </c:manualLayout>
            </c:layout>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Roboto" pitchFamily="2" charset="0"/>
                      <a:ea typeface="Roboto" pitchFamily="2" charset="0"/>
                      <a:cs typeface="+mn-cs"/>
                    </a:defRPr>
                  </a:pPr>
                  <a:r>
                    <a:rPr lang="en-US" sz="1200"/>
                    <a:t>Thousand</a:t>
                  </a:r>
                  <a:r>
                    <a:rPr lang="en-US" sz="1200" baseline="0"/>
                    <a:t> MT CO</a:t>
                  </a:r>
                  <a:r>
                    <a:rPr lang="en-US" sz="1200" baseline="-25000"/>
                    <a:t>2</a:t>
                  </a:r>
                  <a:r>
                    <a:rPr lang="en-US" sz="1200" baseline="0"/>
                    <a:t>e</a:t>
                  </a:r>
                  <a:endParaRPr lang="en-US" sz="1200" baseline="30000"/>
                </a:p>
              </c:rich>
            </c:tx>
            <c:spPr>
              <a:noFill/>
              <a:ln w="25400">
                <a:noFill/>
              </a:ln>
            </c:spPr>
          </c:dispUnitsLbl>
        </c:dispUnits>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r>
                  <a:rPr lang="en-US" sz="1000" b="0" i="0" baseline="0">
                    <a:effectLst/>
                  </a:rPr>
                  <a:t>MT CO</a:t>
                </a:r>
                <a:r>
                  <a:rPr lang="en-US" sz="1000" b="0" i="0" baseline="-25000">
                    <a:effectLst/>
                  </a:rPr>
                  <a:t>2</a:t>
                </a:r>
                <a:r>
                  <a:rPr lang="en-US" sz="1000" b="0" i="0" baseline="0">
                    <a:effectLst/>
                  </a:rPr>
                  <a:t>e/MMBtu</a:t>
                </a:r>
                <a:endParaRPr lang="en-US" sz="1000">
                  <a:effectLst/>
                </a:endParaRPr>
              </a:p>
            </c:rich>
          </c:tx>
          <c:layout>
            <c:manualLayout>
              <c:xMode val="edge"/>
              <c:yMode val="edge"/>
              <c:x val="0.96593061736848107"/>
              <c:y val="0.10376551098651934"/>
            </c:manualLayout>
          </c:layout>
          <c:overlay val="0"/>
          <c:spPr>
            <a:noFill/>
            <a:ln w="25400">
              <a:noFill/>
            </a:ln>
          </c:spPr>
        </c:title>
        <c:numFmt formatCode="General" sourceLinked="1"/>
        <c:majorTickMark val="out"/>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3"/>
        <c:crosses val="max"/>
        <c:crossBetween val="between"/>
      </c:valAx>
      <c:spPr>
        <a:noFill/>
        <a:ln w="25400">
          <a:noFill/>
        </a:ln>
      </c:spPr>
    </c:plotArea>
    <c:legend>
      <c:legendPos val="b"/>
      <c:legendEntry>
        <c:idx val="0"/>
        <c:delete val="1"/>
      </c:legendEntry>
      <c:legendEntry>
        <c:idx val="1"/>
        <c:delete val="1"/>
      </c:legendEntry>
      <c:layout>
        <c:manualLayout>
          <c:xMode val="edge"/>
          <c:yMode val="edge"/>
          <c:x val="0.14443946137167638"/>
          <c:y val="0.93881869151172859"/>
          <c:w val="0.72847118566700908"/>
          <c:h val="5.847136908933503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solidFill>
            <a:schemeClr val="tx1">
              <a:lumMod val="65000"/>
              <a:lumOff val="35000"/>
            </a:schemeClr>
          </a:solidFill>
          <a:latin typeface="Roboto" pitchFamily="2" charset="0"/>
          <a:ea typeface="Roboto"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139397</xdr:colOff>
      <xdr:row>18</xdr:row>
      <xdr:rowOff>0</xdr:rowOff>
    </xdr:from>
    <xdr:to>
      <xdr:col>3</xdr:col>
      <xdr:colOff>264583</xdr:colOff>
      <xdr:row>38</xdr:row>
      <xdr:rowOff>116416</xdr:rowOff>
    </xdr:to>
    <xdr:sp macro="" textlink="">
      <xdr:nvSpPr>
        <xdr:cNvPr id="4" name="TextBox 3">
          <a:extLst>
            <a:ext uri="{FF2B5EF4-FFF2-40B4-BE49-F238E27FC236}">
              <a16:creationId xmlns:a16="http://schemas.microsoft.com/office/drawing/2014/main" id="{DE2434C8-050C-514A-A227-78C17461D179}"/>
            </a:ext>
          </a:extLst>
        </xdr:cNvPr>
        <xdr:cNvSpPr txBox="1"/>
      </xdr:nvSpPr>
      <xdr:spPr>
        <a:xfrm>
          <a:off x="139397" y="2653395"/>
          <a:ext cx="9597269" cy="4373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none">
              <a:latin typeface="Avenir Book" panose="02000503020000020003" pitchFamily="2" charset="0"/>
            </a:rPr>
            <a:t>Introduction</a:t>
          </a:r>
          <a:endParaRPr lang="en-US" sz="1100">
            <a:latin typeface="Avenir Book" panose="02000503020000020003" pitchFamily="2" charset="0"/>
          </a:endParaRPr>
        </a:p>
        <a:p>
          <a:r>
            <a:rPr lang="en-US" sz="1100">
              <a:solidFill>
                <a:schemeClr val="tx1"/>
              </a:solidFill>
              <a:latin typeface="Avenir Book" panose="02000503020000020003" pitchFamily="2" charset="0"/>
            </a:rPr>
            <a:t>This tool </a:t>
          </a:r>
          <a:r>
            <a:rPr lang="en-US" sz="1100" b="0" i="0" strike="noStrike">
              <a:solidFill>
                <a:schemeClr val="tx1"/>
              </a:solidFill>
              <a:latin typeface="Avenir Book" panose="02000503020000020003" pitchFamily="2" charset="0"/>
              <a:ea typeface="Verdana" panose="020B0604030504040204" pitchFamily="34" charset="0"/>
              <a:cs typeface="Verdana" panose="020B0604030504040204" pitchFamily="34" charset="0"/>
            </a:rPr>
            <a:t>was created by Good Company in partnership</a:t>
          </a:r>
          <a:r>
            <a:rPr lang="en-US" sz="1100" b="0" i="0" strike="noStrike" baseline="0">
              <a:solidFill>
                <a:schemeClr val="tx1"/>
              </a:solidFill>
              <a:latin typeface="Avenir Book" panose="02000503020000020003" pitchFamily="2" charset="0"/>
              <a:ea typeface="Verdana" panose="020B0604030504040204" pitchFamily="34" charset="0"/>
              <a:cs typeface="Verdana" panose="020B0604030504040204" pitchFamily="34" charset="0"/>
            </a:rPr>
            <a:t> with Kapwa Consulting and City of Portland's Bureau of Planning and Sustainability. </a:t>
          </a:r>
          <a:r>
            <a:rPr lang="en-US" sz="1100" b="0" i="0" strike="noStrike">
              <a:solidFill>
                <a:schemeClr val="tx1"/>
              </a:solidFill>
              <a:latin typeface="Avenir Book" panose="02000503020000020003" pitchFamily="2" charset="0"/>
              <a:ea typeface="Verdana" panose="020B0604030504040204" pitchFamily="34" charset="0"/>
              <a:cs typeface="Verdana" panose="020B0604030504040204" pitchFamily="34" charset="0"/>
            </a:rPr>
            <a:t>The purpose of this tool</a:t>
          </a:r>
          <a:r>
            <a:rPr lang="en-US" sz="1100" b="0" i="0" strike="noStrike" baseline="0">
              <a:solidFill>
                <a:schemeClr val="tx1"/>
              </a:solidFill>
              <a:latin typeface="Avenir Book" panose="02000503020000020003" pitchFamily="2" charset="0"/>
              <a:ea typeface="Verdana" panose="020B0604030504040204" pitchFamily="34" charset="0"/>
              <a:cs typeface="Verdana" panose="020B0604030504040204" pitchFamily="34" charset="0"/>
            </a:rPr>
            <a:t> is to help interested parties visualize the scale of specific </a:t>
          </a:r>
          <a:r>
            <a:rPr lang="en-US" sz="1100" b="0" i="0" strike="noStrike">
              <a:solidFill>
                <a:schemeClr val="tx1"/>
              </a:solidFill>
              <a:latin typeface="Avenir Book" panose="02000503020000020003" pitchFamily="2" charset="0"/>
              <a:ea typeface="Verdana" panose="020B0604030504040204" pitchFamily="34" charset="0"/>
              <a:cs typeface="Verdana" panose="020B0604030504040204" pitchFamily="34" charset="0"/>
            </a:rPr>
            <a:t>climate</a:t>
          </a:r>
          <a:r>
            <a:rPr lang="en-US" sz="1100" b="0" i="0" strike="noStrike" baseline="0">
              <a:solidFill>
                <a:schemeClr val="tx1"/>
              </a:solidFill>
              <a:latin typeface="Avenir Book" panose="02000503020000020003" pitchFamily="2" charset="0"/>
              <a:ea typeface="Verdana" panose="020B0604030504040204" pitchFamily="34" charset="0"/>
              <a:cs typeface="Verdana" panose="020B0604030504040204" pitchFamily="34" charset="0"/>
            </a:rPr>
            <a:t> action strategies needed to meet the community's goal of Net-Zero Greenhouse Gas (GHG) Emissions by 2050 (and a 2030 goal of 50% reduction compared to 1990 GHG emissions). Visualizer results are presented in terms of GHG reductions compared to community climate goals and also in "Action Metrics" which provide reduction equivalencies in more intuitive units (such as number of vehicles or number of homes to need to be retrofit by certain dates). These equivancies offer information to support a fair </a:t>
          </a:r>
          <a:r>
            <a:rPr lang="en-US" sz="1100" b="0" i="0" strike="noStrike" baseline="0">
              <a:solidFill>
                <a:srgbClr val="000000"/>
              </a:solidFill>
              <a:latin typeface="Avenir Book" panose="02000503020000020003" pitchFamily="2" charset="0"/>
              <a:ea typeface="Verdana" panose="020B0604030504040204" pitchFamily="34" charset="0"/>
              <a:cs typeface="Verdana" panose="020B0604030504040204" pitchFamily="34" charset="0"/>
            </a:rPr>
            <a:t>and just transition as climate actions are implemented. </a:t>
          </a:r>
        </a:p>
        <a:p>
          <a:endParaRPr lang="en-US" sz="1100" b="0" i="0" strike="noStrike" baseline="0">
            <a:solidFill>
              <a:srgbClr val="000000"/>
            </a:solidFill>
            <a:latin typeface="Avenir Book" panose="02000503020000020003" pitchFamily="2" charset="0"/>
            <a:ea typeface="Verdana" panose="020B0604030504040204" pitchFamily="34" charset="0"/>
            <a:cs typeface="Verdana" panose="020B0604030504040204" pitchFamily="34" charset="0"/>
          </a:endParaRPr>
        </a:p>
        <a:p>
          <a:r>
            <a:rPr lang="en-US" sz="1100" b="0" i="0" strike="noStrike" baseline="0">
              <a:solidFill>
                <a:srgbClr val="000000"/>
              </a:solidFill>
              <a:latin typeface="Avenir Book" panose="02000503020000020003" pitchFamily="2" charset="0"/>
              <a:ea typeface="Verdana" panose="020B0604030504040204" pitchFamily="34" charset="0"/>
              <a:cs typeface="Verdana" panose="020B0604030504040204" pitchFamily="34" charset="0"/>
            </a:rPr>
            <a:t>This visualizer is built upon and aligns the results from three distinct community analytical resources. These resources include 1) Multnomah County's Community Greenhouse Gas Inventory, 2) Portland Bureau of Transportation VisionEval modeling, and 3) City of Portland's Building Analysis and Projections. These resources represent recent, high quality analysis that measure and forecast community emissions based on a variety of potential actions that may be implemented between now and 2050. The resources estimate emissions reductions for various strategies, but are not prescriptive in precisely which actions are taken and how actions will be combined to reach community climate goals. That is the purpose of this tool, which combines the information from these sources and allows the user to set the scale of implementation for various actions to better understand the potential combinations of actions required to meet community climate action goals. </a:t>
          </a:r>
        </a:p>
        <a:p>
          <a:endParaRPr lang="en-US" sz="1100" b="0" i="0" strike="noStrike" baseline="0">
            <a:solidFill>
              <a:srgbClr val="000000"/>
            </a:solidFill>
            <a:latin typeface="Avenir Book" panose="02000503020000020003" pitchFamily="2" charset="0"/>
            <a:ea typeface="Verdana" panose="020B0604030504040204" pitchFamily="34" charset="0"/>
            <a:cs typeface="Verdana" panose="020B0604030504040204" pitchFamily="34" charset="0"/>
          </a:endParaRPr>
        </a:p>
        <a:p>
          <a:r>
            <a:rPr lang="en-US" sz="1100" b="0" i="0" strike="noStrike" baseline="0">
              <a:solidFill>
                <a:srgbClr val="000000"/>
              </a:solidFill>
              <a:latin typeface="Avenir Book" panose="02000503020000020003" pitchFamily="2" charset="0"/>
              <a:ea typeface="Verdana" panose="020B0604030504040204" pitchFamily="34" charset="0"/>
              <a:cs typeface="Verdana" panose="020B0604030504040204" pitchFamily="34" charset="0"/>
            </a:rPr>
            <a:t>The foundational resource used in this tool is the Multnomah County Greenhouse Gas Inventory. The community's GHG inventory has been conducted for calendar years spanning from 1990 - 2018 and represents the community's accounting of historic climate impacts and goal setting and therefore is the basis for future emissions forecasting in this tool. The other previously mentioned resources are based on the City of Portland geographic boundary, not Multnomah County, and therefore were adjusted per capita to align with the community's existing GHG inventory. Good Company  performed modeling for emissions sources not included in the previously described resources - specifically, industrial facility energy use and forest carbon sequestration potential within Multnomah County's plantable lands. </a:t>
          </a:r>
        </a:p>
        <a:p>
          <a:endParaRPr lang="en-US" sz="1100" b="0" i="0" strike="noStrike" baseline="0">
            <a:solidFill>
              <a:srgbClr val="000000"/>
            </a:solidFill>
            <a:latin typeface="Avenir Book" panose="02000503020000020003" pitchFamily="2" charset="0"/>
            <a:ea typeface="Verdana" panose="020B0604030504040204" pitchFamily="34" charset="0"/>
            <a:cs typeface="Verdana" panose="020B0604030504040204" pitchFamily="34" charset="0"/>
          </a:endParaRPr>
        </a:p>
        <a:p>
          <a:endParaRPr lang="en-US" sz="1100" b="0" i="0" strike="noStrike" baseline="0">
            <a:solidFill>
              <a:srgbClr val="000000"/>
            </a:solidFill>
            <a:latin typeface="Avenir Book" panose="02000503020000020003" pitchFamily="2" charset="0"/>
            <a:ea typeface="Verdana" panose="020B0604030504040204" pitchFamily="34" charset="0"/>
            <a:cs typeface="Verdana" panose="020B0604030504040204" pitchFamily="34" charset="0"/>
          </a:endParaRPr>
        </a:p>
      </xdr:txBody>
    </xdr:sp>
    <xdr:clientData/>
  </xdr:twoCellAnchor>
  <xdr:twoCellAnchor>
    <xdr:from>
      <xdr:col>0</xdr:col>
      <xdr:colOff>148168</xdr:colOff>
      <xdr:row>39</xdr:row>
      <xdr:rowOff>201084</xdr:rowOff>
    </xdr:from>
    <xdr:to>
      <xdr:col>3</xdr:col>
      <xdr:colOff>201084</xdr:colOff>
      <xdr:row>43</xdr:row>
      <xdr:rowOff>124883</xdr:rowOff>
    </xdr:to>
    <xdr:sp macro="" textlink="">
      <xdr:nvSpPr>
        <xdr:cNvPr id="6" name="TextBox 5">
          <a:extLst>
            <a:ext uri="{FF2B5EF4-FFF2-40B4-BE49-F238E27FC236}">
              <a16:creationId xmlns:a16="http://schemas.microsoft.com/office/drawing/2014/main" id="{FE989BA5-D4D5-044B-8B2F-57A03F845B0C}"/>
            </a:ext>
          </a:extLst>
        </xdr:cNvPr>
        <xdr:cNvSpPr txBox="1"/>
      </xdr:nvSpPr>
      <xdr:spPr>
        <a:xfrm>
          <a:off x="148168" y="7323667"/>
          <a:ext cx="9524999" cy="7387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none" baseline="0">
              <a:latin typeface="Avenir Book" panose="02000503020000020003" pitchFamily="2" charset="0"/>
            </a:rPr>
            <a:t>Description of Tool Structure and Worksheet Details</a:t>
          </a:r>
          <a:endParaRPr lang="en-US" sz="1100" u="none" baseline="0">
            <a:latin typeface="Avenir Book" panose="02000503020000020003" pitchFamily="2" charset="0"/>
          </a:endParaRPr>
        </a:p>
        <a:p>
          <a:endParaRPr lang="en-US" sz="1100">
            <a:latin typeface="Avenir Book" panose="02000503020000020003" pitchFamily="2" charset="0"/>
          </a:endParaRPr>
        </a:p>
        <a:p>
          <a:r>
            <a:rPr lang="en-US" sz="1100">
              <a:latin typeface="Avenir Book" panose="02000503020000020003" pitchFamily="2" charset="0"/>
            </a:rPr>
            <a:t>The following table</a:t>
          </a:r>
          <a:r>
            <a:rPr lang="en-US" sz="1100" baseline="0">
              <a:latin typeface="Avenir Book" panose="02000503020000020003" pitchFamily="2" charset="0"/>
            </a:rPr>
            <a:t> provides a summary of each worksheet included in this Excel workbook. </a:t>
          </a:r>
          <a:endParaRPr lang="en-US" sz="1100" b="0" i="0" strike="noStrike" baseline="0">
            <a:solidFill>
              <a:srgbClr val="000000"/>
            </a:solidFill>
            <a:latin typeface="Avenir Book" panose="02000503020000020003" pitchFamily="2" charset="0"/>
            <a:ea typeface="Verdana" panose="020B0604030504040204" pitchFamily="34" charset="0"/>
            <a:cs typeface="Verdana" panose="020B0604030504040204" pitchFamily="34" charset="0"/>
          </a:endParaRPr>
        </a:p>
        <a:p>
          <a:endParaRPr lang="en-US" sz="1100" b="0" i="0" strike="noStrike" baseline="0">
            <a:solidFill>
              <a:srgbClr val="000000"/>
            </a:solidFill>
            <a:latin typeface="Avenir Book" panose="02000503020000020003" pitchFamily="2" charset="0"/>
            <a:ea typeface="Verdana" panose="020B0604030504040204" pitchFamily="34" charset="0"/>
            <a:cs typeface="Verdana" panose="020B0604030504040204" pitchFamily="34" charset="0"/>
          </a:endParaRPr>
        </a:p>
        <a:p>
          <a:pPr algn="l" rtl="0">
            <a:defRPr sz="1000"/>
          </a:pPr>
          <a:endParaRPr lang="en-US" sz="1100" b="0" i="0" strike="noStrike">
            <a:solidFill>
              <a:srgbClr val="000000"/>
            </a:solidFill>
            <a:latin typeface="Avenir Book" panose="02000503020000020003" pitchFamily="2" charset="0"/>
            <a:ea typeface="Verdana" panose="020B0604030504040204" pitchFamily="34" charset="0"/>
            <a:cs typeface="Verdana" panose="020B0604030504040204" pitchFamily="34" charset="0"/>
          </a:endParaRPr>
        </a:p>
      </xdr:txBody>
    </xdr:sp>
    <xdr:clientData/>
  </xdr:twoCellAnchor>
  <xdr:twoCellAnchor>
    <xdr:from>
      <xdr:col>2</xdr:col>
      <xdr:colOff>4371779</xdr:colOff>
      <xdr:row>3</xdr:row>
      <xdr:rowOff>141676</xdr:rowOff>
    </xdr:from>
    <xdr:to>
      <xdr:col>2</xdr:col>
      <xdr:colOff>6485638</xdr:colOff>
      <xdr:row>15</xdr:row>
      <xdr:rowOff>85777</xdr:rowOff>
    </xdr:to>
    <xdr:grpSp>
      <xdr:nvGrpSpPr>
        <xdr:cNvPr id="2" name="Group 1">
          <a:extLst>
            <a:ext uri="{FF2B5EF4-FFF2-40B4-BE49-F238E27FC236}">
              <a16:creationId xmlns:a16="http://schemas.microsoft.com/office/drawing/2014/main" id="{4AC4E65C-041E-F944-9169-15422D0D2326}"/>
            </a:ext>
          </a:extLst>
        </xdr:cNvPr>
        <xdr:cNvGrpSpPr/>
      </xdr:nvGrpSpPr>
      <xdr:grpSpPr>
        <a:xfrm>
          <a:off x="6859485" y="954102"/>
          <a:ext cx="2113859" cy="2308543"/>
          <a:chOff x="6805953" y="1147092"/>
          <a:chExt cx="2113859" cy="2473518"/>
        </a:xfrm>
      </xdr:grpSpPr>
      <xdr:pic>
        <xdr:nvPicPr>
          <xdr:cNvPr id="5" name="Picture 4">
            <a:extLst>
              <a:ext uri="{FF2B5EF4-FFF2-40B4-BE49-F238E27FC236}">
                <a16:creationId xmlns:a16="http://schemas.microsoft.com/office/drawing/2014/main" id="{5CB11708-C1CA-5A4A-9DB0-7217B5654F3E}"/>
              </a:ext>
            </a:extLst>
          </xdr:cNvPr>
          <xdr:cNvPicPr>
            <a:picLocks noChangeAspect="1"/>
          </xdr:cNvPicPr>
        </xdr:nvPicPr>
        <xdr:blipFill rotWithShape="1">
          <a:blip xmlns:r="http://schemas.openxmlformats.org/officeDocument/2006/relationships" r:embed="rId1"/>
          <a:srcRect l="14286" t="21775" r="8874" b="20812"/>
          <a:stretch/>
        </xdr:blipFill>
        <xdr:spPr>
          <a:xfrm>
            <a:off x="7291916" y="2512362"/>
            <a:ext cx="1161190" cy="429802"/>
          </a:xfrm>
          <a:prstGeom prst="rect">
            <a:avLst/>
          </a:prstGeom>
        </xdr:spPr>
      </xdr:pic>
      <xdr:pic>
        <xdr:nvPicPr>
          <xdr:cNvPr id="7" name="Picture 6" descr="Kapwa Consulting | LinkedIn">
            <a:extLst>
              <a:ext uri="{FF2B5EF4-FFF2-40B4-BE49-F238E27FC236}">
                <a16:creationId xmlns:a16="http://schemas.microsoft.com/office/drawing/2014/main" id="{C326935B-1E7B-3C4A-99BA-37CBC604CAB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014" r="20833" b="27844"/>
          <a:stretch/>
        </xdr:blipFill>
        <xdr:spPr bwMode="auto">
          <a:xfrm>
            <a:off x="7323666" y="3110827"/>
            <a:ext cx="931334" cy="5097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descr="Bureau of Planning and Sustainability Fiscal Year 2018-19 Requested Budget">
            <a:extLst>
              <a:ext uri="{FF2B5EF4-FFF2-40B4-BE49-F238E27FC236}">
                <a16:creationId xmlns:a16="http://schemas.microsoft.com/office/drawing/2014/main" id="{0AADD35D-98FC-2F4D-AECD-CAE19288823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7202"/>
          <a:stretch/>
        </xdr:blipFill>
        <xdr:spPr bwMode="auto">
          <a:xfrm>
            <a:off x="6805953" y="1147092"/>
            <a:ext cx="2113859" cy="11071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61736</xdr:colOff>
      <xdr:row>0</xdr:row>
      <xdr:rowOff>47627</xdr:rowOff>
    </xdr:from>
    <xdr:to>
      <xdr:col>4</xdr:col>
      <xdr:colOff>3809999</xdr:colOff>
      <xdr:row>18</xdr:row>
      <xdr:rowOff>25401</xdr:rowOff>
    </xdr:to>
    <xdr:sp macro="" textlink="">
      <xdr:nvSpPr>
        <xdr:cNvPr id="2" name="TextBox 1">
          <a:extLst>
            <a:ext uri="{FF2B5EF4-FFF2-40B4-BE49-F238E27FC236}">
              <a16:creationId xmlns:a16="http://schemas.microsoft.com/office/drawing/2014/main" id="{93CA9183-515F-9E4A-8A9B-DBBF3DDBF57D}"/>
            </a:ext>
          </a:extLst>
        </xdr:cNvPr>
        <xdr:cNvSpPr txBox="1"/>
      </xdr:nvSpPr>
      <xdr:spPr>
        <a:xfrm>
          <a:off x="61736" y="47627"/>
          <a:ext cx="12828763" cy="3635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latin typeface="Calibri" panose="020F0502020204030204" pitchFamily="34" charset="0"/>
              <a:cs typeface="Calibri" panose="020F0502020204030204" pitchFamily="34" charset="0"/>
            </a:rPr>
            <a:t>Introduction to the Building Background Information</a:t>
          </a:r>
        </a:p>
        <a:p>
          <a:r>
            <a:rPr lang="en-US" sz="1200">
              <a:latin typeface="Calibri" panose="020F0502020204030204" pitchFamily="34" charset="0"/>
              <a:cs typeface="Calibri" panose="020F0502020204030204" pitchFamily="34" charset="0"/>
            </a:rPr>
            <a:t>Building</a:t>
          </a:r>
          <a:r>
            <a:rPr lang="en-US" sz="1200" baseline="0">
              <a:latin typeface="Calibri" panose="020F0502020204030204" pitchFamily="34" charset="0"/>
              <a:cs typeface="Calibri" panose="020F0502020204030204" pitchFamily="34" charset="0"/>
            </a:rPr>
            <a:t> sector greenhouse gas reductions are modeled using Architechure2030s Excel tool titled </a:t>
          </a:r>
          <a:r>
            <a:rPr lang="en-US" sz="1200" i="1" baseline="0">
              <a:latin typeface="Calibri" panose="020F0502020204030204" pitchFamily="34" charset="0"/>
              <a:cs typeface="Calibri" panose="020F0502020204030204" pitchFamily="34" charset="0"/>
            </a:rPr>
            <a:t>Portland Baseline &amp; Projections Analysis 200603</a:t>
          </a:r>
          <a:r>
            <a:rPr lang="en-US" sz="1200" baseline="0">
              <a:latin typeface="Calibri" panose="020F0502020204030204" pitchFamily="34" charset="0"/>
              <a:cs typeface="Calibri" panose="020F0502020204030204" pitchFamily="34" charset="0"/>
            </a:rPr>
            <a:t>. Results from the tool were captured using various setting combinations to forecast the emissions reductions for the Strategies listed in the tables beginning in F60. The values on this table and highlighted in green are used on the Interactive Dashboard as the basis for the 2030 and 2050 Action Settings. </a:t>
          </a:r>
        </a:p>
        <a:p>
          <a:endParaRPr lang="en-US" sz="1200" baseline="0">
            <a:latin typeface="Calibri" panose="020F0502020204030204" pitchFamily="34" charset="0"/>
            <a:cs typeface="Calibri" panose="020F0502020204030204" pitchFamily="34" charset="0"/>
          </a:endParaRPr>
        </a:p>
        <a:p>
          <a:r>
            <a:rPr lang="en-US" sz="1200" baseline="0">
              <a:latin typeface="Calibri" panose="020F0502020204030204" pitchFamily="34" charset="0"/>
              <a:cs typeface="Calibri" panose="020F0502020204030204" pitchFamily="34" charset="0"/>
            </a:rPr>
            <a:t>This worksheet is used in this calculator as the source of background information for the Building actions shown on the dashboard. </a:t>
          </a:r>
        </a:p>
        <a:p>
          <a:endParaRPr lang="en-US" sz="1200" baseline="0">
            <a:latin typeface="Calibri" panose="020F0502020204030204" pitchFamily="34" charset="0"/>
            <a:cs typeface="Calibri" panose="020F0502020204030204" pitchFamily="34" charset="0"/>
          </a:endParaRPr>
        </a:p>
        <a:p>
          <a:r>
            <a:rPr lang="en-US" sz="1200" b="1" baseline="0">
              <a:latin typeface="Calibri" panose="020F0502020204030204" pitchFamily="34" charset="0"/>
              <a:cs typeface="Calibri" panose="020F0502020204030204" pitchFamily="34" charset="0"/>
            </a:rPr>
            <a:t>Equity considerations and building-sector emissions reductions - </a:t>
          </a:r>
          <a:r>
            <a:rPr lang="en-US" sz="1200" baseline="0">
              <a:latin typeface="Calibri" panose="020F0502020204030204" pitchFamily="34" charset="0"/>
              <a:cs typeface="Calibri" panose="020F0502020204030204" pitchFamily="34" charset="0"/>
            </a:rPr>
            <a:t>Existing multifamily building energy efficiency is listed as an early action to ensure the an early focus to provide emissions and cost reductions to low-income and otherwise vulnarable community members. See the worksheet titled County Demographics for detailed statistics on number of households using various fossil fuel types by annual income and race. Additition information that mayb be useful includes the map to the right and the link to the interative GIS below the image. This resource allows for easy identification of related properties.  The Energy Trust of Oregon provided the following summary of historic energy efficiency activity in Multnomah County. </a:t>
          </a:r>
        </a:p>
        <a:p>
          <a:endParaRPr lang="en-US" sz="1200" baseline="0">
            <a:latin typeface="Calibri" panose="020F0502020204030204" pitchFamily="34" charset="0"/>
            <a:cs typeface="Calibri" panose="020F0502020204030204" pitchFamily="34" charset="0"/>
          </a:endParaRPr>
        </a:p>
        <a:p>
          <a:pPr lvl="0"/>
          <a:r>
            <a:rPr lang="en-US" sz="1200" b="1">
              <a:solidFill>
                <a:schemeClr val="dk1"/>
              </a:solidFill>
              <a:effectLst/>
              <a:latin typeface="Calibri" panose="020F0502020204030204" pitchFamily="34" charset="0"/>
              <a:ea typeface="+mn-ea"/>
              <a:cs typeface="Calibri" panose="020F0502020204030204" pitchFamily="34" charset="0"/>
            </a:rPr>
            <a:t>Residential: </a:t>
          </a:r>
          <a:r>
            <a:rPr lang="en-US" sz="1200">
              <a:solidFill>
                <a:schemeClr val="dk1"/>
              </a:solidFill>
              <a:effectLst/>
              <a:latin typeface="Calibri" panose="020F0502020204030204" pitchFamily="34" charset="0"/>
              <a:ea typeface="+mn-ea"/>
              <a:cs typeface="Calibri" panose="020F0502020204030204" pitchFamily="34" charset="0"/>
            </a:rPr>
            <a:t>There are 212,824 residential customer sites in Multnomah County. Of those, 65% (138,369) have participated in an Energy Trust program for which they had savings and/or generation. In particular, 3,249 sites participated in an Energy Trust renewable energy program. </a:t>
          </a:r>
          <a:endParaRPr lang="en-US" sz="1200">
            <a:latin typeface="Calibri" panose="020F0502020204030204" pitchFamily="34" charset="0"/>
            <a:cs typeface="Calibri" panose="020F0502020204030204" pitchFamily="34" charset="0"/>
          </a:endParaRPr>
        </a:p>
        <a:p>
          <a:pPr lvl="0"/>
          <a:endParaRPr lang="en-US" sz="600" b="1">
            <a:solidFill>
              <a:schemeClr val="dk1"/>
            </a:solidFill>
            <a:effectLst/>
            <a:latin typeface="Calibri" panose="020F0502020204030204" pitchFamily="34" charset="0"/>
            <a:ea typeface="+mn-ea"/>
            <a:cs typeface="Calibri" panose="020F0502020204030204" pitchFamily="34" charset="0"/>
          </a:endParaRPr>
        </a:p>
        <a:p>
          <a:pPr lvl="0"/>
          <a:r>
            <a:rPr lang="en-US" sz="1200" b="1">
              <a:solidFill>
                <a:schemeClr val="dk1"/>
              </a:solidFill>
              <a:effectLst/>
              <a:latin typeface="Calibri" panose="020F0502020204030204" pitchFamily="34" charset="0"/>
              <a:ea typeface="+mn-ea"/>
              <a:cs typeface="Calibri" panose="020F0502020204030204" pitchFamily="34" charset="0"/>
            </a:rPr>
            <a:t>Commercial: </a:t>
          </a:r>
          <a:r>
            <a:rPr lang="en-US" sz="1200">
              <a:solidFill>
                <a:schemeClr val="dk1"/>
              </a:solidFill>
              <a:effectLst/>
              <a:latin typeface="Calibri" panose="020F0502020204030204" pitchFamily="34" charset="0"/>
              <a:ea typeface="+mn-ea"/>
              <a:cs typeface="Calibri" panose="020F0502020204030204" pitchFamily="34" charset="0"/>
            </a:rPr>
            <a:t>There are 38,057 commercial customer sites in Multnomah County. Of those, 51% (19,283) have participated in an Energy Trust program for which they had savings and/or generation. In particular, 342 sites participated in an Energy Trust renewable energy program. </a:t>
          </a:r>
          <a:endParaRPr lang="en-US" sz="1200">
            <a:latin typeface="Calibri" panose="020F0502020204030204" pitchFamily="34" charset="0"/>
            <a:cs typeface="Calibri" panose="020F0502020204030204" pitchFamily="34" charset="0"/>
          </a:endParaRPr>
        </a:p>
        <a:p>
          <a:pPr lvl="0"/>
          <a:endParaRPr lang="en-US" sz="600" b="1">
            <a:solidFill>
              <a:schemeClr val="dk1"/>
            </a:solidFill>
            <a:effectLst/>
            <a:latin typeface="Calibri" panose="020F0502020204030204" pitchFamily="34" charset="0"/>
            <a:ea typeface="+mn-ea"/>
            <a:cs typeface="Calibri" panose="020F0502020204030204" pitchFamily="34" charset="0"/>
          </a:endParaRPr>
        </a:p>
        <a:p>
          <a:pPr lvl="0"/>
          <a:r>
            <a:rPr lang="en-US" sz="1200" b="1">
              <a:solidFill>
                <a:schemeClr val="dk1"/>
              </a:solidFill>
              <a:effectLst/>
              <a:latin typeface="Calibri" panose="020F0502020204030204" pitchFamily="34" charset="0"/>
              <a:ea typeface="+mn-ea"/>
              <a:cs typeface="Calibri" panose="020F0502020204030204" pitchFamily="34" charset="0"/>
            </a:rPr>
            <a:t>Industrial: </a:t>
          </a:r>
          <a:r>
            <a:rPr lang="en-US" sz="1200">
              <a:solidFill>
                <a:schemeClr val="dk1"/>
              </a:solidFill>
              <a:effectLst/>
              <a:latin typeface="Calibri" panose="020F0502020204030204" pitchFamily="34" charset="0"/>
              <a:ea typeface="+mn-ea"/>
              <a:cs typeface="Calibri" panose="020F0502020204030204" pitchFamily="34" charset="0"/>
            </a:rPr>
            <a:t>There are 2,634 industrial customer sites in Multnomah County. Of those, 44% (1,154) have participated in an Energy Trust program for which they had savings and/or generation. In particular, 33 sites participated in an Energy Trust renewable energy program. </a:t>
          </a:r>
          <a:endParaRPr lang="en-US" sz="1200">
            <a:latin typeface="Calibri" panose="020F0502020204030204" pitchFamily="34" charset="0"/>
            <a:cs typeface="Calibri" panose="020F0502020204030204" pitchFamily="34" charset="0"/>
          </a:endParaRPr>
        </a:p>
        <a:p>
          <a:endParaRPr lang="en-US" sz="1100" baseline="0">
            <a:latin typeface="Calibri" panose="020F0502020204030204" pitchFamily="34" charset="0"/>
            <a:cs typeface="Calibri" panose="020F0502020204030204" pitchFamily="34" charset="0"/>
          </a:endParaRPr>
        </a:p>
        <a:p>
          <a:endParaRPr lang="en-US" sz="1100">
            <a:latin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54427</xdr:colOff>
      <xdr:row>0</xdr:row>
      <xdr:rowOff>81642</xdr:rowOff>
    </xdr:from>
    <xdr:to>
      <xdr:col>10</xdr:col>
      <xdr:colOff>2285999</xdr:colOff>
      <xdr:row>23</xdr:row>
      <xdr:rowOff>135468</xdr:rowOff>
    </xdr:to>
    <xdr:sp macro="" textlink="">
      <xdr:nvSpPr>
        <xdr:cNvPr id="6" name="TextBox 5">
          <a:extLst>
            <a:ext uri="{FF2B5EF4-FFF2-40B4-BE49-F238E27FC236}">
              <a16:creationId xmlns:a16="http://schemas.microsoft.com/office/drawing/2014/main" id="{77E92E75-E030-AC4C-B28D-DDAC94E6FC6A}"/>
            </a:ext>
          </a:extLst>
        </xdr:cNvPr>
        <xdr:cNvSpPr txBox="1"/>
      </xdr:nvSpPr>
      <xdr:spPr>
        <a:xfrm>
          <a:off x="54427" y="81642"/>
          <a:ext cx="19749105" cy="4727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Pathways Transportation Wedge Descriptions &amp; VisionEval Assumptions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See spreadsheet for additional info: </a:t>
          </a:r>
          <a:r>
            <a:rPr lang="en-US" sz="1100" u="sng">
              <a:solidFill>
                <a:schemeClr val="dk1"/>
              </a:solidFill>
              <a:effectLst/>
              <a:latin typeface="+mn-lt"/>
              <a:ea typeface="+mn-ea"/>
              <a:cs typeface="+mn-cs"/>
              <a:hlinkClick xmlns:r="http://schemas.openxmlformats.org/officeDocument/2006/relationships" r:id=""/>
            </a:rPr>
            <a:t>COP_Wedge_Only_021622.xlsx</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Reference Case</a:t>
          </a:r>
          <a:r>
            <a:rPr lang="en-US" sz="1100">
              <a:solidFill>
                <a:schemeClr val="dk1"/>
              </a:solidFill>
              <a:effectLst/>
              <a:latin typeface="+mn-lt"/>
              <a:ea typeface="+mn-ea"/>
              <a:cs typeface="+mn-cs"/>
            </a:rPr>
            <a:t>: The VisionEval Reference Case is an amalgamation of existing adopted plans, forecasts, and policies, including the 2013 Statewide Transportation Strategy, the Oregon Clean Fuels Program, the 2018 Regional Transpiration Plan’s Climate Smart Strategy, and future energy, income, population, and employment forecasts. An inventory of current conditions and conversations with relevant staff helped inform expected trajectories of reference case inputs, which in some cases were more tempered than plans and future targets. </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Pricing &amp; Policy Alignment</a:t>
          </a:r>
          <a:r>
            <a:rPr lang="en-US" sz="1100">
              <a:solidFill>
                <a:schemeClr val="dk1"/>
              </a:solidFill>
              <a:effectLst/>
              <a:latin typeface="+mn-lt"/>
              <a:ea typeface="+mn-ea"/>
              <a:cs typeface="+mn-cs"/>
            </a:rPr>
            <a:t>: The Pricing and Policy Alignment wedge is comprised of road and parking pricing strategies and policies including a cap on increasing freeway and arterial lane miles. The two pricing strategies included in this wedge are </a:t>
          </a:r>
          <a:r>
            <a:rPr lang="en-US" sz="1100" i="1">
              <a:solidFill>
                <a:schemeClr val="dk1"/>
              </a:solidFill>
              <a:effectLst/>
              <a:latin typeface="+mn-lt"/>
              <a:ea typeface="+mn-ea"/>
              <a:cs typeface="+mn-cs"/>
            </a:rPr>
            <a:t>parking pricing</a:t>
          </a:r>
          <a:r>
            <a:rPr lang="en-US" sz="1100">
              <a:solidFill>
                <a:schemeClr val="dk1"/>
              </a:solidFill>
              <a:effectLst/>
              <a:latin typeface="+mn-lt"/>
              <a:ea typeface="+mn-ea"/>
              <a:cs typeface="+mn-cs"/>
            </a:rPr>
            <a:t>, which assumes a doubling of all parking charges starting in 2025, as well as expanding parking management areas in Portland, and a </a:t>
          </a:r>
          <a:r>
            <a:rPr lang="en-US" sz="1100" i="1">
              <a:solidFill>
                <a:schemeClr val="dk1"/>
              </a:solidFill>
              <a:effectLst/>
              <a:latin typeface="+mn-lt"/>
              <a:ea typeface="+mn-ea"/>
              <a:cs typeface="+mn-cs"/>
            </a:rPr>
            <a:t>VMT fee</a:t>
          </a:r>
          <a:r>
            <a:rPr lang="en-US" sz="1100">
              <a:solidFill>
                <a:schemeClr val="dk1"/>
              </a:solidFill>
              <a:effectLst/>
              <a:latin typeface="+mn-lt"/>
              <a:ea typeface="+mn-ea"/>
              <a:cs typeface="+mn-cs"/>
            </a:rPr>
            <a:t> sufficient to manage demand (also known as a road user charge), which models a $0.05 per mile fee on all Portland metropolitan area roads starting in 2025 and increasing by $0.01 per year through 2050.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Fuel Carbon Intensity Reduction</a:t>
          </a:r>
          <a:r>
            <a:rPr lang="en-US" sz="1100">
              <a:solidFill>
                <a:schemeClr val="dk1"/>
              </a:solidFill>
              <a:effectLst/>
              <a:latin typeface="+mn-lt"/>
              <a:ea typeface="+mn-ea"/>
              <a:cs typeface="+mn-cs"/>
            </a:rPr>
            <a:t>: The Fuel Carbon Intensity Reduction wedge assumes a similar carbon intensity goal as that set forth in Executive Order No. 20-04, which amends the existing Oregon state low-carbon fuel standards and requires a reduction in the average greenhouse gas (GHG) emissions per unit of fuel energy by 20% below 2015 levels by 2030 and 25% below 2015 levels by 2035. The City of Portland and the Oregon State Legislature are separately considering a renewable fuels standard (RFS) for fossil diesel sold in Portland or in the State of Oregon.</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Programs, Projects, and Services</a:t>
          </a:r>
          <a:r>
            <a:rPr lang="en-US" sz="1100">
              <a:solidFill>
                <a:schemeClr val="dk1"/>
              </a:solidFill>
              <a:effectLst/>
              <a:latin typeface="+mn-lt"/>
              <a:ea typeface="+mn-ea"/>
              <a:cs typeface="+mn-cs"/>
            </a:rPr>
            <a:t>: The Programs, Projects, and Services wedge is comprised of residential and employer TDM programs and a series of traffic operations measures, including Intelligent Transportation Systems, signals, incident response, and active traffic management. The residential TDM program assumes 5% of households in the four-county urbanized area participate in a TDM financial incentives program each year. The employer TDM program assumes that all employers with more than 50 employees implement TDM programs with financial incentives, which represents a dramatic expansion of the existing Employee Commute Options (ECO) program. TDM programs with financial incentives have demonstrated greater behavior change and VMT reduction than information-based TDM programs. The traffic operations component assumes  a region-wide increase in several intelligent transportation system (ITS) measures designed to increase driving efficiency, including incident management, traffic signal coordination, and active traffic management (ATM) of freeways. The incident response inputs assume additional resources are invested from 2025-2050 to keep pace with increasing population and VMT, yielding a greater proportion of the highway system in the region covered by incident management programs. The traffic signal coordination inputs assume a greater proportion of signals are coordinated  from 2035-2050. The Freeway ATM input assumes a slight increase in 2035 and 2040, which is then held constant through 2050.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Strategic Electrification</a:t>
          </a:r>
          <a:r>
            <a:rPr lang="en-US" sz="1100">
              <a:solidFill>
                <a:schemeClr val="dk1"/>
              </a:solidFill>
              <a:effectLst/>
              <a:latin typeface="+mn-lt"/>
              <a:ea typeface="+mn-ea"/>
              <a:cs typeface="+mn-cs"/>
            </a:rPr>
            <a:t>: The Strategic Electrification wedge focuses on high value electrification actions, including providing e-bike purchase incentives, increasing the percentage of passenger and goods delivery e-miles, increasing the number of and equitable access to electric vehicle chargers, and heavy truck electrification. The EV charging assumptions include a doubling of charging availability over reference case levels in group quarters and multifamily housing. The heavy truck electrification scenario assumes a heavy truck powertrain electrification rate of 25% by 2050.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City of Portland Preferred Scenario</a:t>
          </a:r>
          <a:r>
            <a:rPr lang="en-US" sz="1100">
              <a:solidFill>
                <a:schemeClr val="dk1"/>
              </a:solidFill>
              <a:effectLst/>
              <a:latin typeface="+mn-lt"/>
              <a:ea typeface="+mn-ea"/>
              <a:cs typeface="+mn-cs"/>
            </a:rPr>
            <a:t>: The City of Portland Preferred Scenario wedge assumes a combination of the strategies included in the above wedges.   The combination of strategies produces substantial VMT and GHG emissions reductions. The cumulative effect of the above strategies is not simply a sum of its parts as there is synergy between the component wedges. Strategies that reduce VMT in turn decrease the amount of fuel consumed and the number of vehicle miles to electrify—as such, there is less reliance on measures that reduce the fuel carbon intensity of fuel or electrify fleets to do the heavy lifting of reducing emissions. </a:t>
          </a:r>
        </a:p>
        <a:p>
          <a:r>
            <a:rPr lang="en-US" sz="1100">
              <a:solidFill>
                <a:schemeClr val="dk1"/>
              </a:solidFill>
              <a:effectLst/>
              <a:latin typeface="+mn-lt"/>
              <a:ea typeface="+mn-ea"/>
              <a:cs typeface="+mn-cs"/>
            </a:rPr>
            <a:t>Executive Order No. 20-04. (2020). “Directing State Agencies to Take Actions to Reduce and Regulate Greenhouse Gas Emissions.” </a:t>
          </a:r>
          <a:r>
            <a:rPr lang="en-US" sz="1100" u="sng">
              <a:solidFill>
                <a:schemeClr val="dk1"/>
              </a:solidFill>
              <a:effectLst/>
              <a:latin typeface="+mn-lt"/>
              <a:ea typeface="+mn-ea"/>
              <a:cs typeface="+mn-cs"/>
              <a:hlinkClick xmlns:r="http://schemas.openxmlformats.org/officeDocument/2006/relationships" r:id=""/>
            </a:rPr>
            <a:t>https://www.oregon.gov/gov/Documents/executive_orders/eo_20-04.pdf</a:t>
          </a:r>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Employee Commute Options (ECO) is a mandatory program for large employers (those with 100+ employees). Under Department of Environmental Quality (DEQ)'s ECO Program, employers with more than 100 employees must provide commute options to employees designed to reduce the number of cars driven to work in Portland and surrounding areas. The ECO program does not require employers to implement financially-based TDM programs; however the program does require that the commute options provided by employers have the potential to reduce employee commute auto trips by 10% within three years of its baseline survey.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78441</xdr:colOff>
      <xdr:row>2</xdr:row>
      <xdr:rowOff>145300</xdr:rowOff>
    </xdr:from>
    <xdr:to>
      <xdr:col>19</xdr:col>
      <xdr:colOff>2043766</xdr:colOff>
      <xdr:row>60</xdr:row>
      <xdr:rowOff>207107</xdr:rowOff>
    </xdr:to>
    <xdr:graphicFrame macro="">
      <xdr:nvGraphicFramePr>
        <xdr:cNvPr id="2" name="Chart 1">
          <a:extLst>
            <a:ext uri="{FF2B5EF4-FFF2-40B4-BE49-F238E27FC236}">
              <a16:creationId xmlns:a16="http://schemas.microsoft.com/office/drawing/2014/main" id="{A797177E-4B89-494B-8201-A58894A30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254000</xdr:colOff>
      <xdr:row>61</xdr:row>
      <xdr:rowOff>84665</xdr:rowOff>
    </xdr:from>
    <xdr:to>
      <xdr:col>19</xdr:col>
      <xdr:colOff>2053167</xdr:colOff>
      <xdr:row>76</xdr:row>
      <xdr:rowOff>0</xdr:rowOff>
    </xdr:to>
    <xdr:sp macro="" textlink="">
      <xdr:nvSpPr>
        <xdr:cNvPr id="3" name="TextBox 2">
          <a:extLst>
            <a:ext uri="{FF2B5EF4-FFF2-40B4-BE49-F238E27FC236}">
              <a16:creationId xmlns:a16="http://schemas.microsoft.com/office/drawing/2014/main" id="{5D1F218A-1E1C-FC4E-B633-A447F4F382BA}"/>
            </a:ext>
          </a:extLst>
        </xdr:cNvPr>
        <xdr:cNvSpPr txBox="1"/>
      </xdr:nvSpPr>
      <xdr:spPr>
        <a:xfrm>
          <a:off x="19706167" y="17906998"/>
          <a:ext cx="12890500" cy="47625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ct val="150000"/>
            </a:lnSpc>
          </a:pPr>
          <a:r>
            <a:rPr lang="en-US" sz="2000" u="sng">
              <a:latin typeface="Avenir Book" panose="02000503020000020003" pitchFamily="2" charset="0"/>
            </a:rPr>
            <a:t>Description</a:t>
          </a:r>
          <a:r>
            <a:rPr lang="en-US" sz="2000" u="sng" baseline="0">
              <a:latin typeface="Avenir Book" panose="02000503020000020003" pitchFamily="2" charset="0"/>
            </a:rPr>
            <a:t> of Remaining Emissions in 2050</a:t>
          </a:r>
        </a:p>
        <a:p>
          <a:pPr marL="457200" marR="0" lvl="1" indent="0" defTabSz="914400" eaLnBrk="1" fontAlgn="auto" latinLnBrk="0" hangingPunct="1">
            <a:lnSpc>
              <a:spcPct val="150000"/>
            </a:lnSpc>
            <a:spcBef>
              <a:spcPts val="0"/>
            </a:spcBef>
            <a:spcAft>
              <a:spcPts val="0"/>
            </a:spcAft>
            <a:buClrTx/>
            <a:buSzTx/>
            <a:buFontTx/>
            <a:buNone/>
            <a:tabLst/>
            <a:defRPr/>
          </a:pPr>
          <a:r>
            <a:rPr lang="en-US" sz="2000" baseline="0">
              <a:latin typeface="Avenir Book" panose="02000503020000020003" pitchFamily="2" charset="0"/>
            </a:rPr>
            <a:t>After full implementation of all strategies considered here - there will still be a small fraction of emissions that remain based on Portland existing community GHG inventory. </a:t>
          </a:r>
          <a:r>
            <a:rPr lang="en-US" sz="2000">
              <a:latin typeface="Avenir Book" panose="02000503020000020003" pitchFamily="2" charset="0"/>
            </a:rPr>
            <a:t>Remaining 2050 emissions include;</a:t>
          </a:r>
          <a:r>
            <a:rPr lang="en-US" sz="2000" baseline="0">
              <a:latin typeface="Avenir Book" panose="02000503020000020003" pitchFamily="2" charset="0"/>
            </a:rPr>
            <a:t> 1</a:t>
          </a:r>
          <a:r>
            <a:rPr lang="en-US" sz="2000">
              <a:latin typeface="Avenir Book" panose="02000503020000020003" pitchFamily="2" charset="0"/>
            </a:rPr>
            <a:t>) process emissions</a:t>
          </a:r>
          <a:r>
            <a:rPr lang="en-US" sz="2000" baseline="0">
              <a:latin typeface="Avenir Book" panose="02000503020000020003" pitchFamily="2" charset="0"/>
            </a:rPr>
            <a:t> from waste treatment (solid waste and wastewater); and 2) fugitive refrigerant loss</a:t>
          </a:r>
        </a:p>
        <a:p>
          <a:pPr marL="457200" marR="0" lvl="1" indent="0" defTabSz="914400" eaLnBrk="1" fontAlgn="auto" latinLnBrk="0" hangingPunct="1">
            <a:lnSpc>
              <a:spcPct val="150000"/>
            </a:lnSpc>
            <a:spcBef>
              <a:spcPts val="0"/>
            </a:spcBef>
            <a:spcAft>
              <a:spcPts val="0"/>
            </a:spcAft>
            <a:buClrTx/>
            <a:buSzTx/>
            <a:buFontTx/>
            <a:buNone/>
            <a:tabLst/>
            <a:defRPr/>
          </a:pPr>
          <a:endParaRPr lang="en-US" sz="1000" baseline="0">
            <a:latin typeface="Avenir Book" panose="02000503020000020003" pitchFamily="2" charset="0"/>
          </a:endParaRPr>
        </a:p>
        <a:p>
          <a:pPr marL="457200" marR="0" lvl="1" indent="0" defTabSz="914400" eaLnBrk="1" fontAlgn="auto" latinLnBrk="0" hangingPunct="1">
            <a:lnSpc>
              <a:spcPct val="150000"/>
            </a:lnSpc>
            <a:spcBef>
              <a:spcPts val="0"/>
            </a:spcBef>
            <a:spcAft>
              <a:spcPts val="0"/>
            </a:spcAft>
            <a:buClrTx/>
            <a:buSzTx/>
            <a:buFontTx/>
            <a:buNone/>
            <a:tabLst/>
            <a:defRPr/>
          </a:pPr>
          <a:r>
            <a:rPr lang="en-US" sz="2000" baseline="0">
              <a:latin typeface="Avenir Book" panose="02000503020000020003" pitchFamily="2" charset="0"/>
            </a:rPr>
            <a:t>It is unclear as of this writing how best to mitigate these sources of emissions with currently understanding of end-use energy needs and whether commercially available technologies can serve these needs. This should not be interpreted as a planning failure. Instead it is a humble acknowledgement that there are aspects of achieving to net-zero that require additional innovation and development. In the meantime - let's work together to focus on implementation of strategies and policies that are commercially viable right now. </a:t>
          </a:r>
          <a:endParaRPr lang="en-US" sz="2000" u="sng">
            <a:latin typeface="Avenir Book" panose="02000503020000020003" pitchFamily="2" charset="0"/>
          </a:endParaRPr>
        </a:p>
      </xdr:txBody>
    </xdr:sp>
    <xdr:clientData/>
  </xdr:twoCellAnchor>
  <xdr:twoCellAnchor>
    <xdr:from>
      <xdr:col>26</xdr:col>
      <xdr:colOff>501650</xdr:colOff>
      <xdr:row>57</xdr:row>
      <xdr:rowOff>279400</xdr:rowOff>
    </xdr:from>
    <xdr:to>
      <xdr:col>37</xdr:col>
      <xdr:colOff>342900</xdr:colOff>
      <xdr:row>88</xdr:row>
      <xdr:rowOff>228600</xdr:rowOff>
    </xdr:to>
    <xdr:graphicFrame macro="">
      <xdr:nvGraphicFramePr>
        <xdr:cNvPr id="5" name="Chart 4">
          <a:extLst>
            <a:ext uri="{FF2B5EF4-FFF2-40B4-BE49-F238E27FC236}">
              <a16:creationId xmlns:a16="http://schemas.microsoft.com/office/drawing/2014/main" id="{797B0CCD-4F4C-DCAC-46F2-69F7CAB832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349487</xdr:colOff>
      <xdr:row>10</xdr:row>
      <xdr:rowOff>176389</xdr:rowOff>
    </xdr:from>
    <xdr:to>
      <xdr:col>25</xdr:col>
      <xdr:colOff>270465</xdr:colOff>
      <xdr:row>34</xdr:row>
      <xdr:rowOff>27281</xdr:rowOff>
    </xdr:to>
    <xdr:graphicFrame macro="">
      <xdr:nvGraphicFramePr>
        <xdr:cNvPr id="4" name="Chart 3">
          <a:extLst>
            <a:ext uri="{FF2B5EF4-FFF2-40B4-BE49-F238E27FC236}">
              <a16:creationId xmlns:a16="http://schemas.microsoft.com/office/drawing/2014/main" id="{C3AE501C-EC05-41D0-962D-CD4821F65E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80493</xdr:colOff>
      <xdr:row>41</xdr:row>
      <xdr:rowOff>26831</xdr:rowOff>
    </xdr:from>
    <xdr:to>
      <xdr:col>7</xdr:col>
      <xdr:colOff>1038211</xdr:colOff>
      <xdr:row>66</xdr:row>
      <xdr:rowOff>88719</xdr:rowOff>
    </xdr:to>
    <xdr:pic>
      <xdr:nvPicPr>
        <xdr:cNvPr id="2" name="Picture 1">
          <a:extLst>
            <a:ext uri="{FF2B5EF4-FFF2-40B4-BE49-F238E27FC236}">
              <a16:creationId xmlns:a16="http://schemas.microsoft.com/office/drawing/2014/main" id="{EDB6819A-62AC-489A-82C6-3C3514576D41}"/>
            </a:ext>
          </a:extLst>
        </xdr:cNvPr>
        <xdr:cNvPicPr>
          <a:picLocks noChangeAspect="1"/>
        </xdr:cNvPicPr>
      </xdr:nvPicPr>
      <xdr:blipFill>
        <a:blip xmlns:r="http://schemas.openxmlformats.org/officeDocument/2006/relationships" r:embed="rId2"/>
        <a:stretch>
          <a:fillRect/>
        </a:stretch>
      </xdr:blipFill>
      <xdr:spPr>
        <a:xfrm>
          <a:off x="80493" y="9525000"/>
          <a:ext cx="9516803" cy="51061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23090</xdr:colOff>
      <xdr:row>22</xdr:row>
      <xdr:rowOff>23778</xdr:rowOff>
    </xdr:from>
    <xdr:to>
      <xdr:col>14</xdr:col>
      <xdr:colOff>623454</xdr:colOff>
      <xdr:row>40</xdr:row>
      <xdr:rowOff>11547</xdr:rowOff>
    </xdr:to>
    <xdr:pic>
      <xdr:nvPicPr>
        <xdr:cNvPr id="3" name="Picture 2" descr="A screenshot of a social media post&#10;&#10;Description automatically generated">
          <a:extLst>
            <a:ext uri="{FF2B5EF4-FFF2-40B4-BE49-F238E27FC236}">
              <a16:creationId xmlns:a16="http://schemas.microsoft.com/office/drawing/2014/main" id="{AF2F94DE-BD34-7E42-88DD-7D56C41DD975}"/>
            </a:ext>
          </a:extLst>
        </xdr:cNvPr>
        <xdr:cNvPicPr/>
      </xdr:nvPicPr>
      <xdr:blipFill>
        <a:blip xmlns:r="http://schemas.openxmlformats.org/officeDocument/2006/relationships" r:embed="rId1"/>
        <a:stretch>
          <a:fillRect/>
        </a:stretch>
      </xdr:blipFill>
      <xdr:spPr>
        <a:xfrm>
          <a:off x="8601363" y="4803596"/>
          <a:ext cx="5945909" cy="3740042"/>
        </a:xfrm>
        <a:prstGeom prst="rect">
          <a:avLst/>
        </a:prstGeom>
      </xdr:spPr>
    </xdr:pic>
    <xdr:clientData/>
  </xdr:twoCellAnchor>
  <xdr:twoCellAnchor>
    <xdr:from>
      <xdr:col>0</xdr:col>
      <xdr:colOff>1</xdr:colOff>
      <xdr:row>0</xdr:row>
      <xdr:rowOff>0</xdr:rowOff>
    </xdr:from>
    <xdr:to>
      <xdr:col>6</xdr:col>
      <xdr:colOff>1270001</xdr:colOff>
      <xdr:row>16</xdr:row>
      <xdr:rowOff>12700</xdr:rowOff>
    </xdr:to>
    <xdr:sp macro="" textlink="">
      <xdr:nvSpPr>
        <xdr:cNvPr id="5" name="TextBox 4">
          <a:extLst>
            <a:ext uri="{FF2B5EF4-FFF2-40B4-BE49-F238E27FC236}">
              <a16:creationId xmlns:a16="http://schemas.microsoft.com/office/drawing/2014/main" id="{0F2E27B9-14F8-1F42-B686-50211D8A9FF3}"/>
            </a:ext>
          </a:extLst>
        </xdr:cNvPr>
        <xdr:cNvSpPr txBox="1"/>
      </xdr:nvSpPr>
      <xdr:spPr>
        <a:xfrm>
          <a:off x="1" y="0"/>
          <a:ext cx="8280400" cy="326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latin typeface="Calibri" panose="020F0502020204030204" pitchFamily="34" charset="0"/>
              <a:cs typeface="Calibri" panose="020F0502020204030204" pitchFamily="34" charset="0"/>
            </a:rPr>
            <a:t>Introduction to the Carbon Sequestration Background Information</a:t>
          </a:r>
        </a:p>
        <a:p>
          <a:endParaRPr lang="en-US" sz="1200" baseline="0">
            <a:latin typeface="Calibri" panose="020F0502020204030204" pitchFamily="34" charset="0"/>
            <a:cs typeface="Calibri" panose="020F0502020204030204" pitchFamily="34" charset="0"/>
          </a:endParaRPr>
        </a:p>
        <a:p>
          <a:r>
            <a:rPr lang="en-US" sz="1200">
              <a:latin typeface="Calibri" panose="020F0502020204030204" pitchFamily="34" charset="0"/>
              <a:cs typeface="Calibri" panose="020F0502020204030204" pitchFamily="34" charset="0"/>
            </a:rPr>
            <a:t>Carbon sequestration</a:t>
          </a:r>
          <a:r>
            <a:rPr lang="en-US" sz="1200" baseline="0">
              <a:latin typeface="Calibri" panose="020F0502020204030204" pitchFamily="34" charset="0"/>
              <a:cs typeface="Calibri" panose="020F0502020204030204" pitchFamily="34" charset="0"/>
            </a:rPr>
            <a:t> is the removal of carbon dioxide from the atmosphere and storage in trees, other vegetation, and soil. Management of these resources towards maximizing carbon storage is an opportunity towards reaching net-zero climate goals. To estimate future storage potential from existing tree canopy and plantable land the U.S. Department of Forestry tool iTree was utilized. This tool provides estimates of existing carbon storage and average annual sequestration rates as well as acres of plantable land that may be utilized for future plantings. This data is summarized below for Multnomah County as well as City of Portland. Average carbon storage for existing plantings is used to estimate future potential for plantable lands and is the basis for the reductions shown on the Interactive Dashboard. See the figure to the right that shows the geographic distribution of carbon storage within Multnomah County. </a:t>
          </a:r>
        </a:p>
        <a:p>
          <a:endParaRPr lang="en-US" sz="1200" baseline="0">
            <a:latin typeface="Calibri" panose="020F0502020204030204" pitchFamily="34" charset="0"/>
            <a:cs typeface="Calibri" panose="020F0502020204030204" pitchFamily="34" charset="0"/>
          </a:endParaRPr>
        </a:p>
        <a:p>
          <a:r>
            <a:rPr lang="en-US" sz="1200" b="1" baseline="0">
              <a:latin typeface="Calibri" panose="020F0502020204030204" pitchFamily="34" charset="0"/>
              <a:cs typeface="Calibri" panose="020F0502020204030204" pitchFamily="34" charset="0"/>
            </a:rPr>
            <a:t>Equity considerations and building-sector emissions reductions - </a:t>
          </a:r>
          <a:r>
            <a:rPr lang="en-US" sz="1200" b="0" baseline="0">
              <a:latin typeface="Calibri" panose="020F0502020204030204" pitchFamily="34" charset="0"/>
              <a:cs typeface="Calibri" panose="020F0502020204030204" pitchFamily="34" charset="0"/>
            </a:rPr>
            <a:t>The scale of existing and future potential carbon storage is often times much less in an urban environment as compared to rural areas as less plantable space is available. That said trees provide significant co-benefits in urban settings by providing shade to reduce the urban heat island effect and energy needs for summer time cooling. Near-term climate action could consider increasing tree canopy in low-income neighborhoods. The figure to the right provides a map that compares average household income by census tract and current trees. The tracts with colored yellow with the largest orange dots represent those acres with the highest proportion of low-income households and the least tree canopy. </a:t>
          </a:r>
          <a:endParaRPr lang="en-US" sz="1200">
            <a:latin typeface="Calibri" panose="020F0502020204030204" pitchFamily="34" charset="0"/>
            <a:cs typeface="Calibri" panose="020F0502020204030204" pitchFamily="34" charset="0"/>
          </a:endParaRPr>
        </a:p>
      </xdr:txBody>
    </xdr:sp>
    <xdr:clientData/>
  </xdr:twoCellAnchor>
  <xdr:twoCellAnchor editAs="oneCell">
    <xdr:from>
      <xdr:col>7</xdr:col>
      <xdr:colOff>34636</xdr:colOff>
      <xdr:row>0</xdr:row>
      <xdr:rowOff>0</xdr:rowOff>
    </xdr:from>
    <xdr:to>
      <xdr:col>14</xdr:col>
      <xdr:colOff>570016</xdr:colOff>
      <xdr:row>14</xdr:row>
      <xdr:rowOff>184727</xdr:rowOff>
    </xdr:to>
    <xdr:pic>
      <xdr:nvPicPr>
        <xdr:cNvPr id="6" name="Picture 5" descr="A close up of a map&#10;&#10;Description automatically generated">
          <a:extLst>
            <a:ext uri="{FF2B5EF4-FFF2-40B4-BE49-F238E27FC236}">
              <a16:creationId xmlns:a16="http://schemas.microsoft.com/office/drawing/2014/main" id="{5BF0E61E-52EE-054B-920C-0C500DDAA39E}"/>
            </a:ext>
          </a:extLst>
        </xdr:cNvPr>
        <xdr:cNvPicPr/>
      </xdr:nvPicPr>
      <xdr:blipFill>
        <a:blip xmlns:r="http://schemas.openxmlformats.org/officeDocument/2006/relationships" r:embed="rId2"/>
        <a:stretch>
          <a:fillRect/>
        </a:stretch>
      </xdr:blipFill>
      <xdr:spPr>
        <a:xfrm>
          <a:off x="7862454" y="0"/>
          <a:ext cx="5880925" cy="3094182"/>
        </a:xfrm>
        <a:prstGeom prst="rect">
          <a:avLst/>
        </a:prstGeom>
      </xdr:spPr>
    </xdr:pic>
    <xdr:clientData/>
  </xdr:twoCellAnchor>
  <xdr:twoCellAnchor editAs="oneCell">
    <xdr:from>
      <xdr:col>15</xdr:col>
      <xdr:colOff>0</xdr:colOff>
      <xdr:row>0</xdr:row>
      <xdr:rowOff>0</xdr:rowOff>
    </xdr:from>
    <xdr:to>
      <xdr:col>22</xdr:col>
      <xdr:colOff>165099</xdr:colOff>
      <xdr:row>15</xdr:row>
      <xdr:rowOff>65859</xdr:rowOff>
    </xdr:to>
    <xdr:pic>
      <xdr:nvPicPr>
        <xdr:cNvPr id="7" name="Picture 6" descr="A close up of a map&#10;&#10;Description automatically generated">
          <a:extLst>
            <a:ext uri="{FF2B5EF4-FFF2-40B4-BE49-F238E27FC236}">
              <a16:creationId xmlns:a16="http://schemas.microsoft.com/office/drawing/2014/main" id="{2B8A1C9B-F445-7149-8189-D58E5898790B}"/>
            </a:ext>
          </a:extLst>
        </xdr:cNvPr>
        <xdr:cNvPicPr/>
      </xdr:nvPicPr>
      <xdr:blipFill>
        <a:blip xmlns:r="http://schemas.openxmlformats.org/officeDocument/2006/relationships" r:embed="rId3"/>
        <a:stretch>
          <a:fillRect/>
        </a:stretch>
      </xdr:blipFill>
      <xdr:spPr>
        <a:xfrm>
          <a:off x="13298714" y="0"/>
          <a:ext cx="5943600" cy="30594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863600</xdr:colOff>
      <xdr:row>68</xdr:row>
      <xdr:rowOff>0</xdr:rowOff>
    </xdr:from>
    <xdr:to>
      <xdr:col>12</xdr:col>
      <xdr:colOff>812800</xdr:colOff>
      <xdr:row>92</xdr:row>
      <xdr:rowOff>0</xdr:rowOff>
    </xdr:to>
    <xdr:graphicFrame macro="">
      <xdr:nvGraphicFramePr>
        <xdr:cNvPr id="2" name="Chart 2">
          <a:extLst>
            <a:ext uri="{FF2B5EF4-FFF2-40B4-BE49-F238E27FC236}">
              <a16:creationId xmlns:a16="http://schemas.microsoft.com/office/drawing/2014/main" id="{DB6E66CF-6FA3-7C41-864D-46771E5D6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660400</xdr:colOff>
      <xdr:row>82</xdr:row>
      <xdr:rowOff>139700</xdr:rowOff>
    </xdr:from>
    <xdr:ext cx="1030346" cy="492571"/>
    <xdr:sp macro="" textlink="">
      <xdr:nvSpPr>
        <xdr:cNvPr id="3" name="TextBox 2">
          <a:extLst>
            <a:ext uri="{FF2B5EF4-FFF2-40B4-BE49-F238E27FC236}">
              <a16:creationId xmlns:a16="http://schemas.microsoft.com/office/drawing/2014/main" id="{9BB26F81-0F04-EA4C-9450-C72984E404B1}"/>
            </a:ext>
          </a:extLst>
        </xdr:cNvPr>
        <xdr:cNvSpPr txBox="1"/>
      </xdr:nvSpPr>
      <xdr:spPr>
        <a:xfrm>
          <a:off x="9042400" y="14719300"/>
          <a:ext cx="1030346"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300" b="1">
              <a:solidFill>
                <a:schemeClr val="bg1"/>
              </a:solidFill>
              <a:latin typeface="Roboto" pitchFamily="2" charset="0"/>
              <a:ea typeface="Roboto" pitchFamily="2" charset="0"/>
            </a:rPr>
            <a:t>EXISTING</a:t>
          </a:r>
        </a:p>
        <a:p>
          <a:pPr algn="r"/>
          <a:r>
            <a:rPr lang="en-US" sz="1300" b="1">
              <a:solidFill>
                <a:schemeClr val="bg1"/>
              </a:solidFill>
              <a:latin typeface="Roboto" pitchFamily="2" charset="0"/>
              <a:ea typeface="Roboto" pitchFamily="2" charset="0"/>
            </a:rPr>
            <a:t>BUILDINGS</a:t>
          </a:r>
        </a:p>
      </xdr:txBody>
    </xdr:sp>
    <xdr:clientData/>
  </xdr:oneCellAnchor>
  <xdr:oneCellAnchor>
    <xdr:from>
      <xdr:col>3</xdr:col>
      <xdr:colOff>711200</xdr:colOff>
      <xdr:row>137</xdr:row>
      <xdr:rowOff>177800</xdr:rowOff>
    </xdr:from>
    <xdr:ext cx="14154150" cy="3568700"/>
    <xdr:pic>
      <xdr:nvPicPr>
        <xdr:cNvPr id="4" name="Picture 5">
          <a:extLst>
            <a:ext uri="{FF2B5EF4-FFF2-40B4-BE49-F238E27FC236}">
              <a16:creationId xmlns:a16="http://schemas.microsoft.com/office/drawing/2014/main" id="{D02A70EC-3181-4642-8110-C8FF6A6E3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25800" y="24536400"/>
          <a:ext cx="14154150" cy="356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561789</xdr:colOff>
      <xdr:row>79</xdr:row>
      <xdr:rowOff>134471</xdr:rowOff>
    </xdr:from>
    <xdr:ext cx="1030346" cy="492571"/>
    <xdr:sp macro="" textlink="">
      <xdr:nvSpPr>
        <xdr:cNvPr id="5" name="TextBox 4">
          <a:extLst>
            <a:ext uri="{FF2B5EF4-FFF2-40B4-BE49-F238E27FC236}">
              <a16:creationId xmlns:a16="http://schemas.microsoft.com/office/drawing/2014/main" id="{D3788184-75D3-4A47-86D9-69604D2D8A4C}"/>
            </a:ext>
          </a:extLst>
        </xdr:cNvPr>
        <xdr:cNvSpPr txBox="1"/>
      </xdr:nvSpPr>
      <xdr:spPr>
        <a:xfrm>
          <a:off x="8943789" y="14180671"/>
          <a:ext cx="1030346"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300" b="1">
              <a:solidFill>
                <a:schemeClr val="bg1"/>
              </a:solidFill>
              <a:latin typeface="Roboto" pitchFamily="2" charset="0"/>
              <a:ea typeface="Roboto" pitchFamily="2" charset="0"/>
            </a:rPr>
            <a:t>NEW</a:t>
          </a:r>
        </a:p>
        <a:p>
          <a:pPr algn="r"/>
          <a:r>
            <a:rPr lang="en-US" sz="1300" b="1">
              <a:solidFill>
                <a:schemeClr val="bg1"/>
              </a:solidFill>
              <a:latin typeface="Roboto" pitchFamily="2" charset="0"/>
              <a:ea typeface="Roboto" pitchFamily="2" charset="0"/>
            </a:rPr>
            <a:t>BUILDINGS</a:t>
          </a:r>
        </a:p>
      </xdr:txBody>
    </xdr:sp>
    <xdr:clientData/>
  </xdr:oneCellAnchor>
  <xdr:oneCellAnchor>
    <xdr:from>
      <xdr:col>3</xdr:col>
      <xdr:colOff>711200</xdr:colOff>
      <xdr:row>137</xdr:row>
      <xdr:rowOff>177800</xdr:rowOff>
    </xdr:from>
    <xdr:ext cx="14154150" cy="3568700"/>
    <xdr:pic>
      <xdr:nvPicPr>
        <xdr:cNvPr id="6" name="Picture 5">
          <a:extLst>
            <a:ext uri="{FF2B5EF4-FFF2-40B4-BE49-F238E27FC236}">
              <a16:creationId xmlns:a16="http://schemas.microsoft.com/office/drawing/2014/main" id="{3CCCD858-B366-F747-84C1-C3196541E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25800" y="24536400"/>
          <a:ext cx="14154150" cy="356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oodco1.sharepoint.com/Users/rynerson/Documents/Projects/POP%20EST/2017%20prelim%20city%20est.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goodco1.sharepoint.com/Users/Erin1/Dropbox%20(Architecture%202030)/Architecture%202030/Initiatives/achieving%20zero/Zero%20Cities%20Project/b-Documents/Building%20Sector%20Analysis/Boulder/Projection%20Changes/Boulder%20Climate%20Commitment%20Analysis%20Tool%20-%20with%20macro2.xlsm?195F8BD0" TargetMode="External"/><Relationship Id="rId1" Type="http://schemas.openxmlformats.org/officeDocument/2006/relationships/externalLinkPath" Target="file:///\\195F8BD0\Boulder%20Climate%20Commitment%20Analysis%20Tool%20-%20with%20macro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oodco1.sharepoint.com/PROJECTS%20AND%20WORK/ANNUAL%20ESTIMATES_ANNEX_PRC/2011%20EST/Revised2010EstAftCensus/Revise2010EstAftCensus.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goodco1.sharepoint.com/Users/Erin1/Dropbox%20(Architecture%202030)/Architecture%202030/Initiatives/achieving%20zero/Zero%20Cities%20Project/b-Documents/Building%20Sector%20Analysis/Boulder/Boulder%20Baseline%20&amp;%20Projections_1801016.xlsx?33154A56" TargetMode="External"/><Relationship Id="rId1" Type="http://schemas.openxmlformats.org/officeDocument/2006/relationships/externalLinkPath" Target="file:///\\33154A56\Boulder%20Baseline%20&amp;%20Projections_1801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oodco1.sharepoint.com/Users/Erin1/Dropbox%20(Architecture%202030)/Architecture%202030/Initiatives/achieving%20zero/Zero%20Cities%20Project/b-Documents/Building%20Sector%20Analysis/Boulder/Boulder-SpaceTypeMatch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lmerge for Deborah"/>
      <sheetName val="mailmerge rounding check"/>
      <sheetName val="prelim county web"/>
      <sheetName val="prelim city web"/>
      <sheetName val="popestreviewcity"/>
      <sheetName val="popestreviewco"/>
      <sheetName val="county est round 2017 format"/>
      <sheetName val="RankCheckcity2016 first"/>
      <sheetName val="certcounty format analyze"/>
      <sheetName val="Notes"/>
      <sheetName val="COUNTY PRELIM 2017 EST"/>
      <sheetName val="COUNTY PRELIM 2016 EST"/>
      <sheetName val="2017 county est_check"/>
      <sheetName val="2016 county est_check"/>
      <sheetName val="compile city by co 2017"/>
      <sheetName val="output"/>
      <sheetName val="2017 CITY DATA"/>
      <sheetName val="CITY EST2017"/>
      <sheetName val="census gq for pdx and other"/>
      <sheetName val="pdx gq 2014 in-hse db"/>
      <sheetName val="2016pop+annex"/>
      <sheetName val="Annex171"/>
      <sheetName val="Annex172"/>
      <sheetName val="Annex173"/>
      <sheetName val="Annex174"/>
      <sheetName val="Annex174adj"/>
      <sheetName val="CensusPPHVacPPHU2010"/>
      <sheetName val="CensusPPHVacPPHU_Co2010"/>
      <sheetName val="cb v2015 est"/>
      <sheetName val="compile city by co 2013 5 co me"/>
      <sheetName val="2015 round unin recon"/>
      <sheetName val="2013 county est_check"/>
      <sheetName val="12countyest outside wrkbook"/>
      <sheetName val="co adj nov 19 2012"/>
      <sheetName val="2012 county est_check"/>
      <sheetName val="2011 HU data"/>
      <sheetName val="2011 HU data co sort"/>
      <sheetName val="11countyest outside wrkbook"/>
      <sheetName val="City2010EstRev"/>
      <sheetName val="County2010EstRev"/>
      <sheetName val="Census uninc analysis"/>
      <sheetName val="Census2000PPHU"/>
      <sheetName val="Census2000pphu_co"/>
      <sheetName val="Census2000 hu g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CJ5" t="str">
            <v>City by County</v>
          </cell>
          <cell r="CK5" t="str">
            <v>Previously Certified Population1</v>
          </cell>
          <cell r="CL5" t="str">
            <v>Annexation Ordinance/Filing Number</v>
          </cell>
          <cell r="CM5" t="str">
            <v>File Date of Annexation</v>
          </cell>
          <cell r="CN5" t="str">
            <v>HOUSING UNITS2 Annexed, Recorded Oct. 1-Dec. 31, 2016</v>
          </cell>
          <cell r="CO5" t="str">
            <v>POPULATION Annexed, Recorded Oct. 1-Dec. 31, 2016</v>
          </cell>
          <cell r="CP5" t="str">
            <v>Certified Population on Dec. 31, 20163</v>
          </cell>
        </row>
        <row r="6">
          <cell r="CJ6" t="str">
            <v>CLACKAMAS COUNTY</v>
          </cell>
        </row>
        <row r="7">
          <cell r="CJ7" t="str">
            <v>Canby</v>
          </cell>
          <cell r="CK7">
            <v>16420</v>
          </cell>
          <cell r="CL7" t="str">
            <v>#1442/AN2016-0074</v>
          </cell>
          <cell r="CM7">
            <v>42606</v>
          </cell>
          <cell r="CN7">
            <v>4</v>
          </cell>
          <cell r="CO7">
            <v>8</v>
          </cell>
          <cell r="CP7">
            <v>16456</v>
          </cell>
        </row>
        <row r="8">
          <cell r="CJ8" t="str">
            <v>Canby</v>
          </cell>
          <cell r="CL8" t="str">
            <v>#1443/AN2016-0075</v>
          </cell>
          <cell r="CM8">
            <v>42606</v>
          </cell>
          <cell r="CN8">
            <v>3</v>
          </cell>
          <cell r="CO8">
            <v>6</v>
          </cell>
        </row>
        <row r="9">
          <cell r="CJ9" t="str">
            <v>Canby</v>
          </cell>
          <cell r="CL9" t="str">
            <v>#1444/AN2016-0077</v>
          </cell>
          <cell r="CM9">
            <v>42606</v>
          </cell>
          <cell r="CN9">
            <v>8</v>
          </cell>
          <cell r="CO9">
            <v>22</v>
          </cell>
        </row>
        <row r="10">
          <cell r="CJ10" t="str">
            <v>Canby SUM</v>
          </cell>
          <cell r="CN10">
            <v>15</v>
          </cell>
          <cell r="CO10">
            <v>36</v>
          </cell>
        </row>
        <row r="11">
          <cell r="CJ11" t="str">
            <v>Damascus</v>
          </cell>
          <cell r="CK11">
            <v>10625</v>
          </cell>
          <cell r="CL11" t="str">
            <v>Disincorporation</v>
          </cell>
          <cell r="CM11">
            <v>42568</v>
          </cell>
          <cell r="CN11" t="str">
            <v>-</v>
          </cell>
          <cell r="CO11">
            <v>-10625</v>
          </cell>
          <cell r="CP11">
            <v>-10625</v>
          </cell>
        </row>
        <row r="12">
          <cell r="CJ12" t="str">
            <v>Estacada</v>
          </cell>
          <cell r="CK12">
            <v>3155</v>
          </cell>
          <cell r="CL12" t="str">
            <v>#2016-009/AN2016-0063</v>
          </cell>
          <cell r="CM12">
            <v>42572</v>
          </cell>
          <cell r="CN12">
            <v>0</v>
          </cell>
          <cell r="CO12">
            <v>0</v>
          </cell>
          <cell r="CP12">
            <v>3155</v>
          </cell>
        </row>
        <row r="13">
          <cell r="CJ13" t="str">
            <v>Milwaukie</v>
          </cell>
          <cell r="CK13">
            <v>20510</v>
          </cell>
          <cell r="CL13" t="str">
            <v>#2133/AN2016-0082</v>
          </cell>
          <cell r="CM13">
            <v>42632</v>
          </cell>
          <cell r="CN13">
            <v>1</v>
          </cell>
          <cell r="CO13">
            <v>0</v>
          </cell>
          <cell r="CP13">
            <v>20510</v>
          </cell>
        </row>
        <row r="14">
          <cell r="CJ14" t="str">
            <v>Columbia County</v>
          </cell>
        </row>
        <row r="15">
          <cell r="CJ15" t="str">
            <v>St. Helens</v>
          </cell>
          <cell r="CK15">
            <v>13120</v>
          </cell>
          <cell r="CL15" t="str">
            <v>#3204/AN2016-0062</v>
          </cell>
          <cell r="CM15">
            <v>42566</v>
          </cell>
          <cell r="CN15">
            <v>1</v>
          </cell>
          <cell r="CO15">
            <v>1</v>
          </cell>
          <cell r="CP15">
            <v>13121</v>
          </cell>
        </row>
        <row r="16">
          <cell r="CJ16" t="str">
            <v>Douglas County</v>
          </cell>
        </row>
        <row r="17">
          <cell r="CJ17" t="str">
            <v>Roseburg</v>
          </cell>
          <cell r="CK17">
            <v>22820</v>
          </cell>
          <cell r="CL17" t="str">
            <v>#3475/AN2016-0098</v>
          </cell>
          <cell r="CM17">
            <v>42674</v>
          </cell>
          <cell r="CN17">
            <v>0</v>
          </cell>
          <cell r="CO17">
            <v>0</v>
          </cell>
          <cell r="CP17">
            <v>22820</v>
          </cell>
        </row>
        <row r="18">
          <cell r="CJ18" t="str">
            <v>Hood River County</v>
          </cell>
        </row>
        <row r="19">
          <cell r="CJ19" t="str">
            <v>Hood River</v>
          </cell>
          <cell r="CK19">
            <v>7760</v>
          </cell>
          <cell r="CL19" t="str">
            <v>#2027/AN2016-0097</v>
          </cell>
          <cell r="CM19">
            <v>42674</v>
          </cell>
          <cell r="CN19">
            <v>0</v>
          </cell>
          <cell r="CO19">
            <v>0</v>
          </cell>
          <cell r="CP19">
            <v>7760</v>
          </cell>
        </row>
        <row r="20">
          <cell r="CJ20" t="str">
            <v>Jackson County</v>
          </cell>
        </row>
        <row r="21">
          <cell r="CJ21" t="str">
            <v>Eagle Point</v>
          </cell>
          <cell r="CK21">
            <v>8765</v>
          </cell>
          <cell r="CL21" t="str">
            <v>#2016-40/AN2016-0087</v>
          </cell>
          <cell r="CM21">
            <v>42641</v>
          </cell>
          <cell r="CN21">
            <v>1</v>
          </cell>
          <cell r="CO21">
            <v>0</v>
          </cell>
          <cell r="CP21">
            <v>8765</v>
          </cell>
        </row>
        <row r="22">
          <cell r="CJ22" t="str">
            <v>Josephine County</v>
          </cell>
        </row>
        <row r="23">
          <cell r="CJ23" t="str">
            <v>Cave Junction</v>
          </cell>
          <cell r="CK23">
            <v>1915</v>
          </cell>
          <cell r="CL23" t="str">
            <v>#555/AN2016-0096</v>
          </cell>
          <cell r="CM23">
            <v>42664</v>
          </cell>
          <cell r="CN23">
            <v>2</v>
          </cell>
          <cell r="CO23">
            <v>3</v>
          </cell>
          <cell r="CP23">
            <v>1918</v>
          </cell>
        </row>
        <row r="24">
          <cell r="CJ24" t="str">
            <v>Grants Pass</v>
          </cell>
          <cell r="CK24">
            <v>36815</v>
          </cell>
          <cell r="CL24" t="str">
            <v>#16-6443/AN2016-0061</v>
          </cell>
          <cell r="CM24">
            <v>42559</v>
          </cell>
          <cell r="CN24">
            <v>2</v>
          </cell>
          <cell r="CO24">
            <v>4</v>
          </cell>
          <cell r="CP24">
            <v>36819</v>
          </cell>
        </row>
        <row r="26">
          <cell r="CJ26" t="str">
            <v>City by County</v>
          </cell>
          <cell r="CK26" t="str">
            <v>Previously Certified Population1</v>
          </cell>
          <cell r="CL26" t="str">
            <v>Annexation Ordinance/Filing Number</v>
          </cell>
          <cell r="CM26" t="str">
            <v>File Date of Annexation</v>
          </cell>
          <cell r="CN26" t="str">
            <v>HOUSING UNITS2 Annexed, Recorded Oct. 1-Dec. 31, 2016</v>
          </cell>
          <cell r="CO26" t="str">
            <v>POPULATION Annexed, Recorded Oct. 1-Dec. 31, 2016</v>
          </cell>
          <cell r="CP26" t="str">
            <v>Certified Population on Dec. 31, 20163</v>
          </cell>
        </row>
        <row r="27">
          <cell r="CJ27" t="str">
            <v>Lane County</v>
          </cell>
        </row>
        <row r="28">
          <cell r="CJ28" t="str">
            <v>Cottage Grove</v>
          </cell>
          <cell r="CK28">
            <v>9890</v>
          </cell>
          <cell r="CL28" t="str">
            <v>#3065/AN2016-0094</v>
          </cell>
          <cell r="CM28">
            <v>42664</v>
          </cell>
          <cell r="CN28">
            <v>0</v>
          </cell>
          <cell r="CO28">
            <v>0</v>
          </cell>
          <cell r="CP28">
            <v>9890</v>
          </cell>
        </row>
        <row r="29">
          <cell r="CJ29" t="str">
            <v>Creswell</v>
          </cell>
          <cell r="CK29">
            <v>5360</v>
          </cell>
          <cell r="CL29" t="str">
            <v>#503/AN2016-0085</v>
          </cell>
          <cell r="CM29">
            <v>42636</v>
          </cell>
          <cell r="CN29">
            <v>1</v>
          </cell>
          <cell r="CO29">
            <v>0</v>
          </cell>
          <cell r="CP29">
            <v>5364</v>
          </cell>
        </row>
        <row r="30">
          <cell r="CJ30" t="str">
            <v>Creswell</v>
          </cell>
          <cell r="CL30" t="str">
            <v>#504/AN2016-0086</v>
          </cell>
          <cell r="CM30">
            <v>42636</v>
          </cell>
          <cell r="CN30">
            <v>2</v>
          </cell>
          <cell r="CO30">
            <v>4</v>
          </cell>
        </row>
        <row r="31">
          <cell r="CJ31" t="str">
            <v>Creswell SUM</v>
          </cell>
          <cell r="CN31">
            <v>3</v>
          </cell>
          <cell r="CO31">
            <v>4</v>
          </cell>
        </row>
        <row r="32">
          <cell r="CJ32" t="str">
            <v>Eugene</v>
          </cell>
          <cell r="CK32">
            <v>165885</v>
          </cell>
          <cell r="CL32" t="str">
            <v>#2016-16/AN2016-0078</v>
          </cell>
          <cell r="CM32">
            <v>42584</v>
          </cell>
          <cell r="CN32">
            <v>3</v>
          </cell>
          <cell r="CO32">
            <v>3</v>
          </cell>
          <cell r="CP32">
            <v>165888</v>
          </cell>
        </row>
        <row r="33">
          <cell r="CJ33" t="str">
            <v>Eugene</v>
          </cell>
          <cell r="CL33" t="str">
            <v>#1392-16/AN2016-0057</v>
          </cell>
          <cell r="CM33">
            <v>42584</v>
          </cell>
          <cell r="CN33">
            <v>1</v>
          </cell>
          <cell r="CO33">
            <v>0</v>
          </cell>
        </row>
        <row r="34">
          <cell r="CJ34" t="str">
            <v>Eugene</v>
          </cell>
          <cell r="CL34" t="str">
            <v>#5168/AN2016-0091</v>
          </cell>
          <cell r="CM34">
            <v>42647</v>
          </cell>
          <cell r="CN34">
            <v>0</v>
          </cell>
          <cell r="CO34">
            <v>0</v>
          </cell>
        </row>
        <row r="35">
          <cell r="CJ35" t="str">
            <v>Eugene</v>
          </cell>
          <cell r="CL35" t="str">
            <v>#5172/2016-0099</v>
          </cell>
          <cell r="CM35">
            <v>42664</v>
          </cell>
          <cell r="CN35">
            <v>1</v>
          </cell>
          <cell r="CO35">
            <v>0</v>
          </cell>
        </row>
        <row r="36">
          <cell r="CJ36" t="str">
            <v>Eugene</v>
          </cell>
          <cell r="CL36" t="str">
            <v>#2884/2016-0093</v>
          </cell>
          <cell r="CM36">
            <v>42664</v>
          </cell>
          <cell r="CN36">
            <v>0</v>
          </cell>
          <cell r="CO36">
            <v>0</v>
          </cell>
        </row>
        <row r="37">
          <cell r="CJ37" t="str">
            <v>Eugene SUM</v>
          </cell>
          <cell r="CN37">
            <v>5</v>
          </cell>
          <cell r="CO37">
            <v>3</v>
          </cell>
        </row>
        <row r="38">
          <cell r="CJ38" t="str">
            <v>Springfield</v>
          </cell>
          <cell r="CK38">
            <v>60140</v>
          </cell>
          <cell r="CL38" t="str">
            <v>revised population</v>
          </cell>
          <cell r="CP38">
            <v>60420</v>
          </cell>
        </row>
        <row r="39">
          <cell r="CJ39" t="str">
            <v>Linn County</v>
          </cell>
        </row>
        <row r="40">
          <cell r="CJ40" t="str">
            <v>Lebanon</v>
          </cell>
          <cell r="CK40">
            <v>16435</v>
          </cell>
          <cell r="CL40" t="str">
            <v>#2884/2016-0093</v>
          </cell>
          <cell r="CM40">
            <v>42664</v>
          </cell>
          <cell r="CN40">
            <v>0</v>
          </cell>
          <cell r="CO40">
            <v>0</v>
          </cell>
          <cell r="CP40">
            <v>16435</v>
          </cell>
        </row>
        <row r="41">
          <cell r="CJ41" t="str">
            <v>Marion County</v>
          </cell>
        </row>
        <row r="42">
          <cell r="CJ42" t="str">
            <v>Woodburn</v>
          </cell>
          <cell r="CK42">
            <v>24795</v>
          </cell>
          <cell r="CL42" t="str">
            <v>#2539/2016-0092</v>
          </cell>
          <cell r="CM42">
            <v>42664</v>
          </cell>
          <cell r="CN42">
            <v>0</v>
          </cell>
          <cell r="CO42">
            <v>0</v>
          </cell>
          <cell r="CP42">
            <v>24795</v>
          </cell>
        </row>
        <row r="43">
          <cell r="CJ43" t="str">
            <v>Multnomah County</v>
          </cell>
        </row>
        <row r="44">
          <cell r="CJ44" t="str">
            <v>Portland</v>
          </cell>
          <cell r="CK44">
            <v>627395</v>
          </cell>
          <cell r="CL44" t="str">
            <v>#187872/2016-0100</v>
          </cell>
          <cell r="CM44">
            <v>42689</v>
          </cell>
          <cell r="CN44">
            <v>0</v>
          </cell>
          <cell r="CO44">
            <v>0</v>
          </cell>
          <cell r="CP44">
            <v>627395</v>
          </cell>
        </row>
        <row r="45">
          <cell r="CJ45" t="str">
            <v>City by County</v>
          </cell>
          <cell r="CK45" t="str">
            <v>Previously Certified Population1</v>
          </cell>
          <cell r="CL45" t="str">
            <v>Annexation Ordinance/Filing Number</v>
          </cell>
          <cell r="CM45" t="str">
            <v>File Date of Annexation</v>
          </cell>
          <cell r="CN45" t="str">
            <v>HOUSING UNITS2 Annexed, Recorded Oct. 1-Dec. 31, 2016</v>
          </cell>
          <cell r="CO45" t="str">
            <v>POPULATION Annexed, Recorded Oct. 1-Dec. 31, 2016</v>
          </cell>
          <cell r="CP45" t="str">
            <v>Certified Population on Dec. 31, 20163</v>
          </cell>
        </row>
        <row r="46">
          <cell r="CJ46" t="str">
            <v>Washington County</v>
          </cell>
        </row>
        <row r="47">
          <cell r="CJ47" t="str">
            <v>Cornelius</v>
          </cell>
          <cell r="CK47">
            <v>11915</v>
          </cell>
          <cell r="CL47" t="str">
            <v>#2016-003/AN2016-0077</v>
          </cell>
          <cell r="CM47">
            <v>42606</v>
          </cell>
          <cell r="CN47">
            <v>0</v>
          </cell>
          <cell r="CO47">
            <v>0</v>
          </cell>
          <cell r="CP47">
            <v>11915</v>
          </cell>
        </row>
        <row r="48">
          <cell r="CJ48" t="str">
            <v>Hillsboro</v>
          </cell>
          <cell r="CK48">
            <v>99340</v>
          </cell>
          <cell r="CL48" t="str">
            <v>#6175/AN2016-0064</v>
          </cell>
          <cell r="CM48">
            <v>42576</v>
          </cell>
          <cell r="CN48">
            <v>16</v>
          </cell>
          <cell r="CO48">
            <v>15</v>
          </cell>
          <cell r="CP48">
            <v>99355</v>
          </cell>
        </row>
        <row r="49">
          <cell r="CJ49" t="str">
            <v>Tigard</v>
          </cell>
          <cell r="CK49">
            <v>49745</v>
          </cell>
          <cell r="CL49" t="str">
            <v>#2016-13/AN2016-0066</v>
          </cell>
          <cell r="CM49">
            <v>42583</v>
          </cell>
          <cell r="CN49">
            <v>1</v>
          </cell>
          <cell r="CO49">
            <v>1</v>
          </cell>
          <cell r="CP49">
            <v>49751</v>
          </cell>
        </row>
        <row r="50">
          <cell r="CJ50" t="str">
            <v>Tigard</v>
          </cell>
          <cell r="CL50" t="str">
            <v>#2016-16/AN2016-0078</v>
          </cell>
          <cell r="CM50">
            <v>42600</v>
          </cell>
          <cell r="CN50">
            <v>3</v>
          </cell>
          <cell r="CO50">
            <v>5</v>
          </cell>
        </row>
        <row r="51">
          <cell r="CJ51" t="str">
            <v>Tigard SUM</v>
          </cell>
          <cell r="CN51">
            <v>4</v>
          </cell>
          <cell r="CO51">
            <v>6</v>
          </cell>
        </row>
        <row r="52">
          <cell r="CJ52" t="str">
            <v>Wilsonville</v>
          </cell>
          <cell r="CK52">
            <v>23740</v>
          </cell>
          <cell r="CL52" t="str">
            <v>#792/AN2016-0065</v>
          </cell>
          <cell r="CM52">
            <v>42576</v>
          </cell>
          <cell r="CN52">
            <v>0</v>
          </cell>
          <cell r="CO52">
            <v>0</v>
          </cell>
          <cell r="CP52">
            <v>23740</v>
          </cell>
        </row>
        <row r="53">
          <cell r="CJ53" t="str">
            <v>Yamhill County</v>
          </cell>
        </row>
        <row r="54">
          <cell r="CJ54" t="str">
            <v>Newberg</v>
          </cell>
          <cell r="CK54">
            <v>23465</v>
          </cell>
          <cell r="CL54" t="str">
            <v>#2016-2803/2016-0079</v>
          </cell>
          <cell r="CM54">
            <v>42620</v>
          </cell>
          <cell r="CN54">
            <v>0</v>
          </cell>
          <cell r="CO54">
            <v>0</v>
          </cell>
          <cell r="CP54">
            <v>23465</v>
          </cell>
        </row>
        <row r="55">
          <cell r="CJ55" t="str">
            <v>Newberg</v>
          </cell>
          <cell r="CL55" t="str">
            <v>#2016-2804/2016-0080</v>
          </cell>
          <cell r="CM55">
            <v>42620</v>
          </cell>
          <cell r="CN55">
            <v>0</v>
          </cell>
          <cell r="CO55">
            <v>0</v>
          </cell>
        </row>
        <row r="56">
          <cell r="CJ56" t="str">
            <v>Newberg SUM</v>
          </cell>
          <cell r="CN56">
            <v>0</v>
          </cell>
          <cell r="CO56">
            <v>0</v>
          </cell>
        </row>
        <row r="57">
          <cell r="CJ57" t="str">
            <v>Adair Village</v>
          </cell>
          <cell r="CP57">
            <v>0</v>
          </cell>
        </row>
        <row r="58">
          <cell r="CJ58" t="str">
            <v>Adams</v>
          </cell>
          <cell r="CP58">
            <v>0</v>
          </cell>
        </row>
        <row r="59">
          <cell r="CJ59" t="str">
            <v>Adrian</v>
          </cell>
          <cell r="CP59">
            <v>0</v>
          </cell>
        </row>
        <row r="60">
          <cell r="CJ60" t="str">
            <v>Albany</v>
          </cell>
          <cell r="CP60">
            <v>0</v>
          </cell>
        </row>
        <row r="61">
          <cell r="CJ61" t="str">
            <v>Amity</v>
          </cell>
          <cell r="CP61">
            <v>0</v>
          </cell>
        </row>
        <row r="62">
          <cell r="CJ62" t="str">
            <v>Antelope</v>
          </cell>
          <cell r="CP62">
            <v>0</v>
          </cell>
        </row>
        <row r="63">
          <cell r="CJ63" t="str">
            <v>Arlington</v>
          </cell>
          <cell r="CP63">
            <v>0</v>
          </cell>
        </row>
        <row r="64">
          <cell r="CJ64" t="str">
            <v>Ashland</v>
          </cell>
          <cell r="CP64">
            <v>0</v>
          </cell>
        </row>
        <row r="65">
          <cell r="CJ65" t="str">
            <v>Astoria</v>
          </cell>
          <cell r="CP65">
            <v>0</v>
          </cell>
        </row>
        <row r="66">
          <cell r="CJ66" t="str">
            <v>Athena</v>
          </cell>
          <cell r="CP66">
            <v>0</v>
          </cell>
        </row>
        <row r="67">
          <cell r="CJ67" t="str">
            <v>Aumsville</v>
          </cell>
          <cell r="CP67">
            <v>0</v>
          </cell>
        </row>
        <row r="68">
          <cell r="CJ68" t="str">
            <v>Aurora</v>
          </cell>
          <cell r="CP68">
            <v>0</v>
          </cell>
        </row>
        <row r="69">
          <cell r="CJ69" t="str">
            <v>Baker City</v>
          </cell>
          <cell r="CP69">
            <v>0</v>
          </cell>
        </row>
        <row r="70">
          <cell r="CJ70" t="str">
            <v>Bandon</v>
          </cell>
          <cell r="CP70">
            <v>0</v>
          </cell>
        </row>
        <row r="71">
          <cell r="CJ71" t="str">
            <v>Banks</v>
          </cell>
          <cell r="CP71">
            <v>0</v>
          </cell>
        </row>
        <row r="72">
          <cell r="CJ72" t="str">
            <v>Barlow</v>
          </cell>
          <cell r="CP72">
            <v>0</v>
          </cell>
        </row>
        <row r="73">
          <cell r="CJ73" t="str">
            <v>Bay City</v>
          </cell>
          <cell r="CP73">
            <v>0</v>
          </cell>
        </row>
        <row r="74">
          <cell r="CJ74" t="str">
            <v>Beaverton</v>
          </cell>
          <cell r="CP74">
            <v>0</v>
          </cell>
        </row>
        <row r="75">
          <cell r="CJ75" t="str">
            <v>Bend</v>
          </cell>
          <cell r="CP75">
            <v>0</v>
          </cell>
        </row>
        <row r="76">
          <cell r="CJ76" t="str">
            <v>Boardman</v>
          </cell>
          <cell r="CP76">
            <v>0</v>
          </cell>
        </row>
        <row r="77">
          <cell r="CJ77" t="str">
            <v>Bonanza</v>
          </cell>
          <cell r="CP77">
            <v>0</v>
          </cell>
        </row>
        <row r="78">
          <cell r="CJ78" t="str">
            <v>Brookings</v>
          </cell>
          <cell r="CP78">
            <v>0</v>
          </cell>
        </row>
        <row r="79">
          <cell r="CJ79" t="str">
            <v>Brownsville</v>
          </cell>
          <cell r="CP79">
            <v>0</v>
          </cell>
        </row>
        <row r="80">
          <cell r="CJ80" t="str">
            <v>Burns</v>
          </cell>
          <cell r="CP80">
            <v>0</v>
          </cell>
        </row>
        <row r="81">
          <cell r="CJ81" t="str">
            <v>Butte Falls</v>
          </cell>
          <cell r="CP81">
            <v>0</v>
          </cell>
        </row>
        <row r="82">
          <cell r="CJ82" t="str">
            <v>Canby</v>
          </cell>
          <cell r="CP82">
            <v>0</v>
          </cell>
        </row>
        <row r="83">
          <cell r="CJ83" t="str">
            <v>Cannon Beach</v>
          </cell>
          <cell r="CP83">
            <v>0</v>
          </cell>
        </row>
        <row r="84">
          <cell r="CJ84" t="str">
            <v>Canyon City</v>
          </cell>
          <cell r="CP84">
            <v>0</v>
          </cell>
        </row>
        <row r="85">
          <cell r="CJ85" t="str">
            <v>Canyonville</v>
          </cell>
          <cell r="CP85">
            <v>0</v>
          </cell>
        </row>
        <row r="86">
          <cell r="CJ86" t="str">
            <v>Carlton</v>
          </cell>
          <cell r="CP86">
            <v>0</v>
          </cell>
        </row>
        <row r="87">
          <cell r="CJ87" t="str">
            <v>Cascade Locks</v>
          </cell>
          <cell r="CP87">
            <v>0</v>
          </cell>
        </row>
        <row r="88">
          <cell r="CJ88" t="str">
            <v>Cave Junction</v>
          </cell>
          <cell r="CP88">
            <v>0</v>
          </cell>
        </row>
        <row r="89">
          <cell r="CJ89" t="str">
            <v>Central Point</v>
          </cell>
          <cell r="CP89">
            <v>0</v>
          </cell>
        </row>
        <row r="90">
          <cell r="CJ90" t="str">
            <v>Chiloquin</v>
          </cell>
          <cell r="CP90">
            <v>0</v>
          </cell>
        </row>
        <row r="91">
          <cell r="CJ91" t="str">
            <v>Clatskanie</v>
          </cell>
          <cell r="CP91">
            <v>0</v>
          </cell>
        </row>
        <row r="92">
          <cell r="CJ92" t="str">
            <v>Coburg</v>
          </cell>
          <cell r="CP92">
            <v>0</v>
          </cell>
        </row>
        <row r="93">
          <cell r="CJ93" t="str">
            <v>Columbia City</v>
          </cell>
          <cell r="CP93">
            <v>0</v>
          </cell>
        </row>
        <row r="94">
          <cell r="CJ94" t="str">
            <v>Condon</v>
          </cell>
          <cell r="CP94">
            <v>0</v>
          </cell>
        </row>
        <row r="95">
          <cell r="CJ95" t="str">
            <v>Coos Bay</v>
          </cell>
          <cell r="CP95">
            <v>0</v>
          </cell>
        </row>
        <row r="96">
          <cell r="CJ96" t="str">
            <v>Coquille</v>
          </cell>
          <cell r="CP96">
            <v>0</v>
          </cell>
        </row>
        <row r="97">
          <cell r="CJ97" t="str">
            <v>Cornelius</v>
          </cell>
          <cell r="CP97">
            <v>0</v>
          </cell>
        </row>
        <row r="98">
          <cell r="CJ98" t="str">
            <v>Corvallis</v>
          </cell>
          <cell r="CP98">
            <v>0</v>
          </cell>
        </row>
        <row r="99">
          <cell r="CJ99" t="str">
            <v>Cottage Grove</v>
          </cell>
          <cell r="CP99">
            <v>0</v>
          </cell>
        </row>
        <row r="100">
          <cell r="CJ100" t="str">
            <v>Cove</v>
          </cell>
          <cell r="CP100">
            <v>0</v>
          </cell>
        </row>
        <row r="101">
          <cell r="CJ101" t="str">
            <v>Creswell</v>
          </cell>
          <cell r="CP101">
            <v>0</v>
          </cell>
        </row>
        <row r="102">
          <cell r="CJ102" t="str">
            <v>Culver</v>
          </cell>
          <cell r="CP102">
            <v>0</v>
          </cell>
        </row>
        <row r="103">
          <cell r="CJ103" t="str">
            <v>Dallas</v>
          </cell>
          <cell r="CP103">
            <v>0</v>
          </cell>
        </row>
        <row r="104">
          <cell r="CJ104" t="str">
            <v>Damascus</v>
          </cell>
          <cell r="CP104">
            <v>0</v>
          </cell>
        </row>
        <row r="105">
          <cell r="CJ105" t="str">
            <v>Dayton</v>
          </cell>
          <cell r="CP105">
            <v>0</v>
          </cell>
        </row>
        <row r="106">
          <cell r="CJ106" t="str">
            <v>Dayville</v>
          </cell>
          <cell r="CP106">
            <v>0</v>
          </cell>
        </row>
        <row r="107">
          <cell r="CJ107" t="str">
            <v>Depoe Bay</v>
          </cell>
          <cell r="CP107">
            <v>0</v>
          </cell>
        </row>
        <row r="108">
          <cell r="CJ108" t="str">
            <v>Detroit</v>
          </cell>
          <cell r="CP108">
            <v>0</v>
          </cell>
        </row>
        <row r="109">
          <cell r="CJ109" t="str">
            <v>Donald</v>
          </cell>
          <cell r="CP109">
            <v>0</v>
          </cell>
        </row>
        <row r="110">
          <cell r="CJ110" t="str">
            <v>Drain</v>
          </cell>
          <cell r="CP110">
            <v>0</v>
          </cell>
        </row>
        <row r="111">
          <cell r="CJ111" t="str">
            <v>Dufur</v>
          </cell>
          <cell r="CP111">
            <v>0</v>
          </cell>
        </row>
        <row r="112">
          <cell r="CJ112" t="str">
            <v>Dundee</v>
          </cell>
          <cell r="CP112">
            <v>0</v>
          </cell>
        </row>
        <row r="113">
          <cell r="CJ113" t="str">
            <v>Dunes City</v>
          </cell>
          <cell r="CP113">
            <v>0</v>
          </cell>
        </row>
        <row r="114">
          <cell r="CJ114" t="str">
            <v>Durham</v>
          </cell>
          <cell r="CP114">
            <v>0</v>
          </cell>
        </row>
        <row r="115">
          <cell r="CJ115" t="str">
            <v>Eagle Point</v>
          </cell>
          <cell r="CP115">
            <v>0</v>
          </cell>
        </row>
        <row r="116">
          <cell r="CJ116" t="str">
            <v>Echo</v>
          </cell>
          <cell r="CP116">
            <v>0</v>
          </cell>
        </row>
        <row r="117">
          <cell r="CJ117" t="str">
            <v>Elgin</v>
          </cell>
          <cell r="CP117">
            <v>0</v>
          </cell>
        </row>
        <row r="118">
          <cell r="CJ118" t="str">
            <v>Elkton</v>
          </cell>
          <cell r="CP118">
            <v>0</v>
          </cell>
        </row>
        <row r="119">
          <cell r="CJ119" t="str">
            <v>Enterprise</v>
          </cell>
          <cell r="CP119">
            <v>0</v>
          </cell>
        </row>
        <row r="120">
          <cell r="CJ120" t="str">
            <v>Estacada</v>
          </cell>
          <cell r="CP120">
            <v>0</v>
          </cell>
        </row>
        <row r="121">
          <cell r="CJ121" t="str">
            <v>Eugene</v>
          </cell>
          <cell r="CP121">
            <v>0</v>
          </cell>
        </row>
        <row r="122">
          <cell r="CJ122" t="str">
            <v>Fairview</v>
          </cell>
          <cell r="CP122">
            <v>0</v>
          </cell>
        </row>
        <row r="123">
          <cell r="CJ123" t="str">
            <v>Falls City</v>
          </cell>
          <cell r="CP123">
            <v>0</v>
          </cell>
        </row>
        <row r="124">
          <cell r="CJ124" t="str">
            <v>Florence</v>
          </cell>
          <cell r="CP124">
            <v>0</v>
          </cell>
        </row>
        <row r="125">
          <cell r="CJ125" t="str">
            <v>Forest Grove</v>
          </cell>
          <cell r="CP125">
            <v>0</v>
          </cell>
        </row>
        <row r="126">
          <cell r="CJ126" t="str">
            <v>Fossil</v>
          </cell>
          <cell r="CP126">
            <v>0</v>
          </cell>
        </row>
        <row r="127">
          <cell r="CJ127" t="str">
            <v>Garibaldi</v>
          </cell>
          <cell r="CP127">
            <v>0</v>
          </cell>
        </row>
        <row r="128">
          <cell r="CJ128" t="str">
            <v>Gaston</v>
          </cell>
          <cell r="CP128">
            <v>0</v>
          </cell>
        </row>
        <row r="129">
          <cell r="CJ129" t="str">
            <v>Gates</v>
          </cell>
          <cell r="CP129">
            <v>0</v>
          </cell>
        </row>
        <row r="130">
          <cell r="CJ130" t="str">
            <v>Gearhart</v>
          </cell>
          <cell r="CP130">
            <v>0</v>
          </cell>
        </row>
        <row r="131">
          <cell r="CJ131" t="str">
            <v>Gervais</v>
          </cell>
          <cell r="CP131">
            <v>0</v>
          </cell>
        </row>
        <row r="132">
          <cell r="CJ132" t="str">
            <v>Gladstone</v>
          </cell>
          <cell r="CP132">
            <v>0</v>
          </cell>
        </row>
        <row r="133">
          <cell r="CJ133" t="str">
            <v>Glendale</v>
          </cell>
          <cell r="CP133">
            <v>0</v>
          </cell>
        </row>
        <row r="134">
          <cell r="CJ134" t="str">
            <v>Gold Beach</v>
          </cell>
          <cell r="CP134">
            <v>0</v>
          </cell>
        </row>
        <row r="135">
          <cell r="CJ135" t="str">
            <v>Gold Hill</v>
          </cell>
          <cell r="CP135">
            <v>0</v>
          </cell>
        </row>
        <row r="136">
          <cell r="CJ136" t="str">
            <v>Granite</v>
          </cell>
          <cell r="CP136">
            <v>0</v>
          </cell>
        </row>
        <row r="137">
          <cell r="CJ137" t="str">
            <v>Grants Pass</v>
          </cell>
          <cell r="CP137">
            <v>0</v>
          </cell>
        </row>
        <row r="138">
          <cell r="CJ138" t="str">
            <v>Grass Valley</v>
          </cell>
          <cell r="CP138">
            <v>0</v>
          </cell>
        </row>
        <row r="139">
          <cell r="CJ139" t="str">
            <v>Greenhorn</v>
          </cell>
          <cell r="CP139">
            <v>0</v>
          </cell>
        </row>
        <row r="140">
          <cell r="CJ140" t="str">
            <v>Gresham</v>
          </cell>
          <cell r="CP140">
            <v>0</v>
          </cell>
        </row>
        <row r="141">
          <cell r="CJ141" t="str">
            <v>Haines</v>
          </cell>
          <cell r="CP141">
            <v>0</v>
          </cell>
        </row>
        <row r="142">
          <cell r="CJ142" t="str">
            <v>Halfway</v>
          </cell>
          <cell r="CP142">
            <v>0</v>
          </cell>
        </row>
        <row r="143">
          <cell r="CJ143" t="str">
            <v>Halsey</v>
          </cell>
          <cell r="CP143">
            <v>0</v>
          </cell>
        </row>
        <row r="144">
          <cell r="CJ144" t="str">
            <v>Happy Valley</v>
          </cell>
          <cell r="CP144">
            <v>0</v>
          </cell>
        </row>
        <row r="145">
          <cell r="CJ145" t="str">
            <v>Harrisburg</v>
          </cell>
          <cell r="CP145">
            <v>0</v>
          </cell>
        </row>
        <row r="146">
          <cell r="CJ146" t="str">
            <v>Helix</v>
          </cell>
          <cell r="CP146">
            <v>0</v>
          </cell>
        </row>
        <row r="147">
          <cell r="CJ147" t="str">
            <v>Heppner</v>
          </cell>
          <cell r="CP147">
            <v>0</v>
          </cell>
        </row>
        <row r="148">
          <cell r="CJ148" t="str">
            <v>Hermiston</v>
          </cell>
          <cell r="CP148">
            <v>0</v>
          </cell>
        </row>
        <row r="149">
          <cell r="CJ149" t="str">
            <v>Hillsboro</v>
          </cell>
          <cell r="CP149">
            <v>0</v>
          </cell>
        </row>
        <row r="150">
          <cell r="CJ150" t="str">
            <v>Hines</v>
          </cell>
          <cell r="CP150">
            <v>0</v>
          </cell>
        </row>
        <row r="151">
          <cell r="CJ151" t="str">
            <v>Hood River</v>
          </cell>
          <cell r="CP151">
            <v>0</v>
          </cell>
        </row>
        <row r="152">
          <cell r="CJ152" t="str">
            <v>Hubbard</v>
          </cell>
          <cell r="CP152">
            <v>0</v>
          </cell>
        </row>
        <row r="153">
          <cell r="CJ153" t="str">
            <v>Huntington</v>
          </cell>
          <cell r="CP153">
            <v>0</v>
          </cell>
        </row>
        <row r="154">
          <cell r="CJ154" t="str">
            <v>Idanha</v>
          </cell>
          <cell r="CP154">
            <v>0</v>
          </cell>
        </row>
        <row r="155">
          <cell r="CJ155" t="str">
            <v>Imbler</v>
          </cell>
          <cell r="CP155">
            <v>0</v>
          </cell>
        </row>
        <row r="156">
          <cell r="CJ156" t="str">
            <v>Independence</v>
          </cell>
          <cell r="CP156">
            <v>0</v>
          </cell>
        </row>
        <row r="157">
          <cell r="CJ157" t="str">
            <v>Ione</v>
          </cell>
          <cell r="CP157">
            <v>0</v>
          </cell>
        </row>
        <row r="158">
          <cell r="CJ158" t="str">
            <v>Irrigon</v>
          </cell>
          <cell r="CP158">
            <v>0</v>
          </cell>
        </row>
        <row r="159">
          <cell r="CJ159" t="str">
            <v>Island City</v>
          </cell>
          <cell r="CP159">
            <v>0</v>
          </cell>
        </row>
        <row r="160">
          <cell r="CJ160" t="str">
            <v>Jacksonville</v>
          </cell>
          <cell r="CP160">
            <v>0</v>
          </cell>
        </row>
        <row r="161">
          <cell r="CJ161" t="str">
            <v>Jefferson</v>
          </cell>
          <cell r="CP161">
            <v>0</v>
          </cell>
        </row>
        <row r="162">
          <cell r="CJ162" t="str">
            <v>John Day</v>
          </cell>
          <cell r="CP162">
            <v>0</v>
          </cell>
        </row>
        <row r="163">
          <cell r="CJ163" t="str">
            <v>Johnson City</v>
          </cell>
          <cell r="CP163">
            <v>0</v>
          </cell>
        </row>
        <row r="164">
          <cell r="CJ164" t="str">
            <v>Jordan Valley</v>
          </cell>
          <cell r="CP164">
            <v>0</v>
          </cell>
        </row>
        <row r="165">
          <cell r="CJ165" t="str">
            <v>Joseph</v>
          </cell>
          <cell r="CP165">
            <v>0</v>
          </cell>
        </row>
        <row r="166">
          <cell r="CJ166" t="str">
            <v>Junction City</v>
          </cell>
          <cell r="CP166">
            <v>0</v>
          </cell>
        </row>
        <row r="167">
          <cell r="CJ167" t="str">
            <v>Keizer</v>
          </cell>
          <cell r="CP167">
            <v>0</v>
          </cell>
        </row>
        <row r="168">
          <cell r="CJ168" t="str">
            <v>King City</v>
          </cell>
          <cell r="CP168">
            <v>0</v>
          </cell>
        </row>
        <row r="169">
          <cell r="CJ169" t="str">
            <v>Klamath Falls</v>
          </cell>
          <cell r="CP169">
            <v>0</v>
          </cell>
        </row>
        <row r="170">
          <cell r="CJ170" t="str">
            <v>La Grande</v>
          </cell>
          <cell r="CP170">
            <v>0</v>
          </cell>
        </row>
        <row r="171">
          <cell r="CJ171" t="str">
            <v>La Pine</v>
          </cell>
          <cell r="CP171">
            <v>0</v>
          </cell>
        </row>
        <row r="172">
          <cell r="CJ172" t="str">
            <v>Lafayette</v>
          </cell>
          <cell r="CP172">
            <v>0</v>
          </cell>
        </row>
        <row r="173">
          <cell r="CJ173" t="str">
            <v>Lake Oswego</v>
          </cell>
          <cell r="CP173">
            <v>0</v>
          </cell>
        </row>
        <row r="174">
          <cell r="CJ174" t="str">
            <v>Lakeside</v>
          </cell>
          <cell r="CP174">
            <v>0</v>
          </cell>
        </row>
        <row r="175">
          <cell r="CJ175" t="str">
            <v>Lakeview</v>
          </cell>
          <cell r="CP175">
            <v>0</v>
          </cell>
        </row>
        <row r="176">
          <cell r="CJ176" t="str">
            <v>Lebanon</v>
          </cell>
          <cell r="CP176">
            <v>0</v>
          </cell>
        </row>
        <row r="177">
          <cell r="CJ177" t="str">
            <v>Lexington</v>
          </cell>
          <cell r="CP177">
            <v>0</v>
          </cell>
        </row>
        <row r="178">
          <cell r="CJ178" t="str">
            <v>Lincoln City</v>
          </cell>
          <cell r="CP178">
            <v>0</v>
          </cell>
        </row>
        <row r="179">
          <cell r="CJ179" t="str">
            <v>Lonerock</v>
          </cell>
          <cell r="CP179">
            <v>0</v>
          </cell>
        </row>
        <row r="180">
          <cell r="CJ180" t="str">
            <v>Long Creek</v>
          </cell>
          <cell r="CP180">
            <v>0</v>
          </cell>
        </row>
        <row r="181">
          <cell r="CJ181" t="str">
            <v>Lostine</v>
          </cell>
          <cell r="CP181">
            <v>0</v>
          </cell>
        </row>
        <row r="182">
          <cell r="CJ182" t="str">
            <v>Lowell</v>
          </cell>
          <cell r="CP182">
            <v>0</v>
          </cell>
        </row>
        <row r="183">
          <cell r="CJ183" t="str">
            <v>Lyons</v>
          </cell>
          <cell r="CP183">
            <v>0</v>
          </cell>
        </row>
        <row r="184">
          <cell r="CJ184" t="str">
            <v>Madras</v>
          </cell>
          <cell r="CP184">
            <v>0</v>
          </cell>
        </row>
        <row r="185">
          <cell r="CJ185" t="str">
            <v>Malin</v>
          </cell>
          <cell r="CP185">
            <v>0</v>
          </cell>
        </row>
        <row r="186">
          <cell r="CJ186" t="str">
            <v>Manzanita</v>
          </cell>
          <cell r="CP186">
            <v>0</v>
          </cell>
        </row>
        <row r="187">
          <cell r="CJ187" t="str">
            <v>Maupin</v>
          </cell>
          <cell r="CP187">
            <v>0</v>
          </cell>
        </row>
        <row r="188">
          <cell r="CJ188" t="str">
            <v>Maywood Park</v>
          </cell>
          <cell r="CP188">
            <v>0</v>
          </cell>
        </row>
        <row r="189">
          <cell r="CJ189" t="str">
            <v>McMinnville</v>
          </cell>
          <cell r="CP189">
            <v>0</v>
          </cell>
        </row>
        <row r="190">
          <cell r="CJ190" t="str">
            <v>Medford</v>
          </cell>
          <cell r="CP190">
            <v>0</v>
          </cell>
        </row>
        <row r="191">
          <cell r="CJ191" t="str">
            <v>Merrill</v>
          </cell>
          <cell r="CP191">
            <v>0</v>
          </cell>
        </row>
        <row r="192">
          <cell r="CJ192" t="str">
            <v>Metolius</v>
          </cell>
          <cell r="CP192">
            <v>0</v>
          </cell>
        </row>
        <row r="193">
          <cell r="CJ193" t="str">
            <v>Mill City</v>
          </cell>
          <cell r="CP193">
            <v>0</v>
          </cell>
        </row>
        <row r="194">
          <cell r="CJ194" t="str">
            <v>Millersburg</v>
          </cell>
          <cell r="CP194">
            <v>0</v>
          </cell>
        </row>
        <row r="195">
          <cell r="CJ195" t="str">
            <v>Milton-Freewater</v>
          </cell>
          <cell r="CP195">
            <v>0</v>
          </cell>
        </row>
        <row r="196">
          <cell r="CJ196" t="str">
            <v>Milwaukie</v>
          </cell>
          <cell r="CP196">
            <v>0</v>
          </cell>
        </row>
        <row r="197">
          <cell r="CJ197" t="str">
            <v>Mitchell</v>
          </cell>
          <cell r="CP197">
            <v>0</v>
          </cell>
        </row>
        <row r="198">
          <cell r="CJ198" t="str">
            <v>Molalla</v>
          </cell>
          <cell r="CP198">
            <v>0</v>
          </cell>
        </row>
        <row r="199">
          <cell r="CJ199" t="str">
            <v>Monmouth</v>
          </cell>
          <cell r="CP199">
            <v>0</v>
          </cell>
        </row>
        <row r="200">
          <cell r="CJ200" t="str">
            <v>Monroe</v>
          </cell>
          <cell r="CP200">
            <v>0</v>
          </cell>
        </row>
        <row r="201">
          <cell r="CJ201" t="str">
            <v>Monument</v>
          </cell>
          <cell r="CP201">
            <v>0</v>
          </cell>
        </row>
        <row r="202">
          <cell r="CJ202" t="str">
            <v>Moro</v>
          </cell>
          <cell r="CP202">
            <v>0</v>
          </cell>
        </row>
        <row r="203">
          <cell r="CJ203" t="str">
            <v>Mosier</v>
          </cell>
          <cell r="CP203">
            <v>0</v>
          </cell>
        </row>
        <row r="204">
          <cell r="CJ204" t="str">
            <v>Mt. Angel</v>
          </cell>
          <cell r="CP204">
            <v>0</v>
          </cell>
        </row>
        <row r="205">
          <cell r="CJ205" t="str">
            <v>Mt. Vernon</v>
          </cell>
          <cell r="CP205">
            <v>0</v>
          </cell>
        </row>
        <row r="206">
          <cell r="CJ206" t="str">
            <v>Myrtle Creek</v>
          </cell>
          <cell r="CP206">
            <v>0</v>
          </cell>
        </row>
        <row r="207">
          <cell r="CJ207" t="str">
            <v>Myrtle Point</v>
          </cell>
          <cell r="CP207">
            <v>0</v>
          </cell>
        </row>
        <row r="208">
          <cell r="CJ208" t="str">
            <v>Nehalem</v>
          </cell>
          <cell r="CP208">
            <v>0</v>
          </cell>
        </row>
        <row r="209">
          <cell r="CJ209" t="str">
            <v>Newberg</v>
          </cell>
          <cell r="CP209">
            <v>0</v>
          </cell>
        </row>
        <row r="210">
          <cell r="CJ210" t="str">
            <v>Newport</v>
          </cell>
          <cell r="CP210">
            <v>0</v>
          </cell>
        </row>
        <row r="211">
          <cell r="CJ211" t="str">
            <v>North Bend</v>
          </cell>
          <cell r="CP211">
            <v>0</v>
          </cell>
        </row>
        <row r="212">
          <cell r="CJ212" t="str">
            <v>North Plains</v>
          </cell>
          <cell r="CP212">
            <v>0</v>
          </cell>
        </row>
        <row r="213">
          <cell r="CJ213" t="str">
            <v>North Powder</v>
          </cell>
          <cell r="CP213">
            <v>0</v>
          </cell>
        </row>
        <row r="214">
          <cell r="CJ214" t="str">
            <v>Nyssa</v>
          </cell>
          <cell r="CP214">
            <v>0</v>
          </cell>
        </row>
        <row r="215">
          <cell r="CJ215" t="str">
            <v>Oakland</v>
          </cell>
          <cell r="CP215">
            <v>0</v>
          </cell>
        </row>
        <row r="216">
          <cell r="CJ216" t="str">
            <v>Oakridge</v>
          </cell>
          <cell r="CP216">
            <v>0</v>
          </cell>
        </row>
        <row r="217">
          <cell r="CJ217" t="str">
            <v>Ontario</v>
          </cell>
          <cell r="CP217">
            <v>0</v>
          </cell>
        </row>
        <row r="218">
          <cell r="CJ218" t="str">
            <v>Oregon City</v>
          </cell>
          <cell r="CP218">
            <v>0</v>
          </cell>
        </row>
        <row r="219">
          <cell r="CJ219" t="str">
            <v>Paisley</v>
          </cell>
          <cell r="CP219">
            <v>0</v>
          </cell>
        </row>
        <row r="220">
          <cell r="CJ220" t="str">
            <v>Pendleton</v>
          </cell>
          <cell r="CP220">
            <v>0</v>
          </cell>
        </row>
        <row r="221">
          <cell r="CJ221" t="str">
            <v>Philomath</v>
          </cell>
          <cell r="CP221">
            <v>0</v>
          </cell>
        </row>
        <row r="222">
          <cell r="CJ222" t="str">
            <v>Phoenix</v>
          </cell>
          <cell r="CP222">
            <v>0</v>
          </cell>
        </row>
        <row r="223">
          <cell r="CJ223" t="str">
            <v>Pilot Rock</v>
          </cell>
          <cell r="CP223">
            <v>0</v>
          </cell>
        </row>
        <row r="224">
          <cell r="CJ224" t="str">
            <v>Port Orford</v>
          </cell>
          <cell r="CP224">
            <v>0</v>
          </cell>
        </row>
        <row r="225">
          <cell r="CJ225" t="str">
            <v>Portland</v>
          </cell>
          <cell r="CP225">
            <v>0</v>
          </cell>
        </row>
        <row r="226">
          <cell r="CJ226" t="str">
            <v>Powers</v>
          </cell>
          <cell r="CP226">
            <v>0</v>
          </cell>
        </row>
        <row r="227">
          <cell r="CJ227" t="str">
            <v>Prairie City</v>
          </cell>
          <cell r="CP227">
            <v>0</v>
          </cell>
        </row>
        <row r="228">
          <cell r="CJ228" t="str">
            <v>Prescott</v>
          </cell>
          <cell r="CP228">
            <v>0</v>
          </cell>
        </row>
        <row r="229">
          <cell r="CJ229" t="str">
            <v>Prineville</v>
          </cell>
          <cell r="CP229">
            <v>0</v>
          </cell>
        </row>
        <row r="230">
          <cell r="CJ230" t="str">
            <v>Rainier</v>
          </cell>
          <cell r="CP230">
            <v>0</v>
          </cell>
        </row>
        <row r="231">
          <cell r="CJ231" t="str">
            <v>Redmond</v>
          </cell>
          <cell r="CP231">
            <v>0</v>
          </cell>
        </row>
        <row r="232">
          <cell r="CJ232" t="str">
            <v>Reedsport</v>
          </cell>
          <cell r="CP232">
            <v>0</v>
          </cell>
        </row>
        <row r="233">
          <cell r="CJ233" t="str">
            <v>Richland</v>
          </cell>
          <cell r="CP233">
            <v>0</v>
          </cell>
        </row>
        <row r="234">
          <cell r="CJ234" t="str">
            <v>Riddle</v>
          </cell>
          <cell r="CP234">
            <v>0</v>
          </cell>
        </row>
        <row r="235">
          <cell r="CJ235" t="str">
            <v>Rivergrove</v>
          </cell>
          <cell r="CP235">
            <v>0</v>
          </cell>
        </row>
        <row r="236">
          <cell r="CJ236" t="str">
            <v>Rockaway Beach</v>
          </cell>
          <cell r="CP236">
            <v>0</v>
          </cell>
        </row>
        <row r="237">
          <cell r="CJ237" t="str">
            <v>Rogue River</v>
          </cell>
          <cell r="CP237">
            <v>0</v>
          </cell>
        </row>
        <row r="238">
          <cell r="CJ238" t="str">
            <v>Roseburg</v>
          </cell>
          <cell r="CP238">
            <v>0</v>
          </cell>
        </row>
        <row r="239">
          <cell r="CJ239" t="str">
            <v>Rufus</v>
          </cell>
          <cell r="CP239">
            <v>0</v>
          </cell>
        </row>
        <row r="240">
          <cell r="CJ240" t="str">
            <v>Salem</v>
          </cell>
          <cell r="CP240">
            <v>0</v>
          </cell>
        </row>
        <row r="241">
          <cell r="CJ241" t="str">
            <v>Sandy</v>
          </cell>
          <cell r="CP241">
            <v>0</v>
          </cell>
        </row>
        <row r="242">
          <cell r="CJ242" t="str">
            <v>Scappoose</v>
          </cell>
          <cell r="CP242">
            <v>0</v>
          </cell>
        </row>
        <row r="243">
          <cell r="CJ243" t="str">
            <v>Scio</v>
          </cell>
          <cell r="CP243">
            <v>0</v>
          </cell>
        </row>
        <row r="244">
          <cell r="CJ244" t="str">
            <v>Scotts Mills</v>
          </cell>
          <cell r="CP244">
            <v>0</v>
          </cell>
        </row>
        <row r="245">
          <cell r="CJ245" t="str">
            <v>Seaside</v>
          </cell>
          <cell r="CP245">
            <v>0</v>
          </cell>
        </row>
        <row r="246">
          <cell r="CJ246" t="str">
            <v>Seneca</v>
          </cell>
          <cell r="CP246">
            <v>0</v>
          </cell>
        </row>
        <row r="247">
          <cell r="CJ247" t="str">
            <v>Shady Cove</v>
          </cell>
          <cell r="CP247">
            <v>0</v>
          </cell>
        </row>
        <row r="248">
          <cell r="CJ248" t="str">
            <v>Shaniko</v>
          </cell>
          <cell r="CP248">
            <v>0</v>
          </cell>
        </row>
        <row r="249">
          <cell r="CJ249" t="str">
            <v>Sheridan</v>
          </cell>
          <cell r="CP249">
            <v>0</v>
          </cell>
        </row>
        <row r="250">
          <cell r="CJ250" t="str">
            <v>Sherwood</v>
          </cell>
          <cell r="CP250">
            <v>0</v>
          </cell>
        </row>
        <row r="251">
          <cell r="CJ251" t="str">
            <v>Siletz</v>
          </cell>
          <cell r="CP251">
            <v>0</v>
          </cell>
        </row>
        <row r="252">
          <cell r="CJ252" t="str">
            <v>Silverton</v>
          </cell>
          <cell r="CP252">
            <v>0</v>
          </cell>
        </row>
        <row r="253">
          <cell r="CJ253" t="str">
            <v>Sisters</v>
          </cell>
          <cell r="CP253">
            <v>0</v>
          </cell>
        </row>
        <row r="254">
          <cell r="CJ254" t="str">
            <v>Sodaville</v>
          </cell>
          <cell r="CP254">
            <v>0</v>
          </cell>
        </row>
        <row r="255">
          <cell r="CJ255" t="str">
            <v>Spray</v>
          </cell>
          <cell r="CP255">
            <v>0</v>
          </cell>
        </row>
        <row r="256">
          <cell r="CJ256" t="str">
            <v>Springfield</v>
          </cell>
          <cell r="CP256">
            <v>0</v>
          </cell>
        </row>
        <row r="257">
          <cell r="CJ257" t="str">
            <v>St. Helens</v>
          </cell>
          <cell r="CP257">
            <v>0</v>
          </cell>
        </row>
        <row r="258">
          <cell r="CJ258" t="str">
            <v>St. Paul</v>
          </cell>
          <cell r="CP258">
            <v>0</v>
          </cell>
        </row>
        <row r="259">
          <cell r="CJ259" t="str">
            <v>Stanfield</v>
          </cell>
          <cell r="CP259">
            <v>0</v>
          </cell>
        </row>
        <row r="260">
          <cell r="CJ260" t="str">
            <v>Stayton</v>
          </cell>
          <cell r="CP260">
            <v>0</v>
          </cell>
        </row>
        <row r="261">
          <cell r="CJ261" t="str">
            <v>Sublimity</v>
          </cell>
          <cell r="CP261">
            <v>0</v>
          </cell>
        </row>
        <row r="262">
          <cell r="CJ262" t="str">
            <v>Summerville</v>
          </cell>
          <cell r="CP262">
            <v>0</v>
          </cell>
        </row>
        <row r="263">
          <cell r="CJ263" t="str">
            <v>Sumpter</v>
          </cell>
          <cell r="CP263">
            <v>0</v>
          </cell>
        </row>
        <row r="264">
          <cell r="CJ264" t="str">
            <v>Sutherlin</v>
          </cell>
          <cell r="CP264">
            <v>0</v>
          </cell>
        </row>
        <row r="265">
          <cell r="CJ265" t="str">
            <v>Sweet Home</v>
          </cell>
          <cell r="CP265">
            <v>0</v>
          </cell>
        </row>
        <row r="266">
          <cell r="CJ266" t="str">
            <v>Talent</v>
          </cell>
          <cell r="CP266">
            <v>0</v>
          </cell>
        </row>
        <row r="267">
          <cell r="CJ267" t="str">
            <v>Tangent</v>
          </cell>
          <cell r="CP267">
            <v>0</v>
          </cell>
        </row>
        <row r="268">
          <cell r="CJ268" t="str">
            <v>The Dalles</v>
          </cell>
          <cell r="CP268">
            <v>0</v>
          </cell>
        </row>
        <row r="269">
          <cell r="CJ269" t="str">
            <v>Tigard</v>
          </cell>
          <cell r="CP269">
            <v>0</v>
          </cell>
        </row>
        <row r="270">
          <cell r="CJ270" t="str">
            <v>Tillamook</v>
          </cell>
          <cell r="CP270">
            <v>0</v>
          </cell>
        </row>
        <row r="271">
          <cell r="CJ271" t="str">
            <v>Toledo</v>
          </cell>
          <cell r="CP271">
            <v>0</v>
          </cell>
        </row>
        <row r="272">
          <cell r="CJ272" t="str">
            <v>Troutdale</v>
          </cell>
          <cell r="CP272">
            <v>0</v>
          </cell>
        </row>
        <row r="273">
          <cell r="CJ273" t="str">
            <v>Tualatin</v>
          </cell>
          <cell r="CP273">
            <v>0</v>
          </cell>
        </row>
        <row r="274">
          <cell r="CJ274" t="str">
            <v>Turner</v>
          </cell>
          <cell r="CP274">
            <v>0</v>
          </cell>
        </row>
        <row r="275">
          <cell r="CJ275" t="str">
            <v>Ukiah</v>
          </cell>
          <cell r="CP275">
            <v>0</v>
          </cell>
        </row>
        <row r="276">
          <cell r="CJ276" t="str">
            <v>Umatilla</v>
          </cell>
          <cell r="CP276">
            <v>0</v>
          </cell>
        </row>
        <row r="277">
          <cell r="CJ277" t="str">
            <v>Union</v>
          </cell>
          <cell r="CP277">
            <v>0</v>
          </cell>
        </row>
        <row r="278">
          <cell r="CJ278" t="str">
            <v>Unity</v>
          </cell>
          <cell r="CP278">
            <v>0</v>
          </cell>
        </row>
        <row r="279">
          <cell r="CJ279" t="str">
            <v>Vale</v>
          </cell>
          <cell r="CP279">
            <v>0</v>
          </cell>
        </row>
        <row r="280">
          <cell r="CJ280" t="str">
            <v>Veneta</v>
          </cell>
          <cell r="CP280">
            <v>0</v>
          </cell>
        </row>
        <row r="281">
          <cell r="CJ281" t="str">
            <v>Vernonia</v>
          </cell>
          <cell r="CP281">
            <v>0</v>
          </cell>
        </row>
        <row r="282">
          <cell r="CJ282" t="str">
            <v>Waldport</v>
          </cell>
          <cell r="CP282">
            <v>0</v>
          </cell>
        </row>
        <row r="283">
          <cell r="CJ283" t="str">
            <v>Wallowa</v>
          </cell>
          <cell r="CP283">
            <v>0</v>
          </cell>
        </row>
        <row r="284">
          <cell r="CJ284" t="str">
            <v>Warrenton</v>
          </cell>
          <cell r="CP284">
            <v>0</v>
          </cell>
        </row>
        <row r="285">
          <cell r="CJ285" t="str">
            <v>Wasco</v>
          </cell>
          <cell r="CP285">
            <v>0</v>
          </cell>
        </row>
        <row r="286">
          <cell r="CJ286" t="str">
            <v>Waterloo</v>
          </cell>
          <cell r="CP286">
            <v>0</v>
          </cell>
        </row>
        <row r="287">
          <cell r="CJ287" t="str">
            <v>West Linn</v>
          </cell>
          <cell r="CP287">
            <v>0</v>
          </cell>
        </row>
        <row r="288">
          <cell r="CJ288" t="str">
            <v>Westfir</v>
          </cell>
          <cell r="CP288">
            <v>0</v>
          </cell>
        </row>
        <row r="289">
          <cell r="CJ289" t="str">
            <v>Weston</v>
          </cell>
          <cell r="CP289">
            <v>0</v>
          </cell>
        </row>
        <row r="290">
          <cell r="CJ290" t="str">
            <v>Wheeler</v>
          </cell>
          <cell r="CP290">
            <v>0</v>
          </cell>
        </row>
        <row r="291">
          <cell r="CJ291" t="str">
            <v>Willamina</v>
          </cell>
          <cell r="CP291">
            <v>0</v>
          </cell>
        </row>
        <row r="292">
          <cell r="CJ292" t="str">
            <v>Wilsonville</v>
          </cell>
          <cell r="CP292">
            <v>0</v>
          </cell>
        </row>
        <row r="293">
          <cell r="CJ293" t="str">
            <v>Winston</v>
          </cell>
          <cell r="CP293">
            <v>0</v>
          </cell>
        </row>
        <row r="294">
          <cell r="CJ294" t="str">
            <v>Wood Village</v>
          </cell>
          <cell r="CP294">
            <v>0</v>
          </cell>
        </row>
        <row r="295">
          <cell r="CJ295" t="str">
            <v>Woodburn</v>
          </cell>
          <cell r="CP295">
            <v>0</v>
          </cell>
        </row>
        <row r="296">
          <cell r="CJ296" t="str">
            <v>Yachats</v>
          </cell>
          <cell r="CP296">
            <v>0</v>
          </cell>
        </row>
        <row r="297">
          <cell r="CJ297" t="str">
            <v>Yamhill</v>
          </cell>
          <cell r="CP297">
            <v>0</v>
          </cell>
        </row>
        <row r="298">
          <cell r="CJ298" t="str">
            <v>Yoncalla</v>
          </cell>
          <cell r="CP298">
            <v>0</v>
          </cell>
        </row>
      </sheetData>
      <sheetData sheetId="22">
        <row r="5">
          <cell r="CK5" t="str">
            <v>City by County</v>
          </cell>
          <cell r="CL5" t="str">
            <v>Previously Certified Population1</v>
          </cell>
          <cell r="CM5" t="str">
            <v>Annexation Ordinance/Filing Number</v>
          </cell>
          <cell r="CN5" t="str">
            <v>File Date of Annexation</v>
          </cell>
          <cell r="CO5" t="str">
            <v>HOUSING UNITS2 Annexed, Recorded Jan. 1-Mar. 31, 2017</v>
          </cell>
          <cell r="CP5" t="str">
            <v>POPULATION Annexed, Recorded Jan. 1-Mar. 31, 2017</v>
          </cell>
          <cell r="CQ5" t="str">
            <v>Certified Population on Mar. 31, 20173</v>
          </cell>
        </row>
        <row r="6">
          <cell r="CK6" t="str">
            <v>Clackamas County</v>
          </cell>
        </row>
        <row r="7">
          <cell r="CK7" t="str">
            <v>Happy Valley</v>
          </cell>
          <cell r="CL7">
            <v>18680</v>
          </cell>
          <cell r="CM7" t="str">
            <v>#498/AN2016-0089</v>
          </cell>
          <cell r="CN7">
            <v>42646</v>
          </cell>
          <cell r="CO7">
            <v>7</v>
          </cell>
          <cell r="CP7">
            <v>13</v>
          </cell>
          <cell r="CQ7">
            <v>18822</v>
          </cell>
        </row>
        <row r="8">
          <cell r="CM8" t="str">
            <v>#499/AN2016-0090</v>
          </cell>
          <cell r="CN8">
            <v>42646</v>
          </cell>
          <cell r="CO8">
            <v>5</v>
          </cell>
          <cell r="CP8">
            <v>17</v>
          </cell>
        </row>
        <row r="9">
          <cell r="CM9" t="str">
            <v>#506/AN2016-0109</v>
          </cell>
          <cell r="CN9">
            <v>42717</v>
          </cell>
          <cell r="CO9">
            <v>63</v>
          </cell>
          <cell r="CP9">
            <v>112</v>
          </cell>
        </row>
        <row r="10">
          <cell r="CK10" t="str">
            <v>Happy Valley SUM</v>
          </cell>
          <cell r="CO10">
            <v>75</v>
          </cell>
          <cell r="CP10">
            <v>142</v>
          </cell>
        </row>
        <row r="11">
          <cell r="CK11" t="str">
            <v>Lake Oswego</v>
          </cell>
          <cell r="CL11">
            <v>37425</v>
          </cell>
          <cell r="CM11" t="str">
            <v>#2716/AN2016-0070</v>
          </cell>
          <cell r="CN11">
            <v>42592</v>
          </cell>
          <cell r="CO11">
            <v>1</v>
          </cell>
          <cell r="CP11">
            <v>0</v>
          </cell>
          <cell r="CQ11">
            <v>37428</v>
          </cell>
        </row>
        <row r="12">
          <cell r="CM12" t="str">
            <v>#2717/AN2016-0071</v>
          </cell>
          <cell r="CN12">
            <v>42601</v>
          </cell>
          <cell r="CO12">
            <v>1</v>
          </cell>
          <cell r="CP12">
            <v>0</v>
          </cell>
        </row>
        <row r="13">
          <cell r="CM13" t="str">
            <v>#2718/AN2016-0072</v>
          </cell>
          <cell r="CN13">
            <v>42601</v>
          </cell>
          <cell r="CO13">
            <v>1</v>
          </cell>
          <cell r="CP13">
            <v>0</v>
          </cell>
        </row>
        <row r="14">
          <cell r="CM14" t="str">
            <v>#2719/AN2016-0073</v>
          </cell>
          <cell r="CN14">
            <v>42601</v>
          </cell>
          <cell r="CO14">
            <v>1</v>
          </cell>
          <cell r="CP14">
            <v>0</v>
          </cell>
        </row>
        <row r="15">
          <cell r="CM15" t="str">
            <v>#2724/AN2016-0115</v>
          </cell>
          <cell r="CN15">
            <v>42731</v>
          </cell>
          <cell r="CO15">
            <v>1</v>
          </cell>
          <cell r="CP15">
            <v>3</v>
          </cell>
        </row>
        <row r="16">
          <cell r="CK16" t="str">
            <v>Lake Oswego SUM</v>
          </cell>
          <cell r="CO16">
            <v>5</v>
          </cell>
          <cell r="CP16">
            <v>3</v>
          </cell>
        </row>
        <row r="17">
          <cell r="CK17" t="str">
            <v>Milwaukie</v>
          </cell>
          <cell r="CL17">
            <v>20510</v>
          </cell>
          <cell r="CM17" t="str">
            <v>#2137/AN2016-0105</v>
          </cell>
          <cell r="CN17">
            <v>42710</v>
          </cell>
          <cell r="CO17">
            <v>1</v>
          </cell>
          <cell r="CP17">
            <v>4</v>
          </cell>
          <cell r="CQ17">
            <v>20519</v>
          </cell>
        </row>
        <row r="18">
          <cell r="CM18" t="str">
            <v>#2136/AN2016-0106</v>
          </cell>
          <cell r="CN18">
            <v>42710</v>
          </cell>
          <cell r="CO18">
            <v>1</v>
          </cell>
          <cell r="CP18">
            <v>1</v>
          </cell>
        </row>
        <row r="19">
          <cell r="CM19" t="str">
            <v>#2138/AN2016-0116</v>
          </cell>
          <cell r="CN19">
            <v>42727</v>
          </cell>
          <cell r="CO19">
            <v>1</v>
          </cell>
          <cell r="CP19">
            <v>4</v>
          </cell>
        </row>
        <row r="20">
          <cell r="CK20" t="str">
            <v>Milwaukie SUM</v>
          </cell>
          <cell r="CO20">
            <v>3</v>
          </cell>
          <cell r="CP20">
            <v>9</v>
          </cell>
        </row>
        <row r="21">
          <cell r="CK21" t="str">
            <v>Columbia County</v>
          </cell>
        </row>
        <row r="22">
          <cell r="CK22" t="str">
            <v>Scappoose</v>
          </cell>
          <cell r="CL22">
            <v>6785</v>
          </cell>
          <cell r="CM22" t="str">
            <v>#860/AN2017-0016</v>
          </cell>
          <cell r="CN22">
            <v>42797</v>
          </cell>
          <cell r="CO22">
            <v>0</v>
          </cell>
          <cell r="CP22">
            <v>0</v>
          </cell>
          <cell r="CQ22">
            <v>6785</v>
          </cell>
        </row>
        <row r="23">
          <cell r="CK23" t="str">
            <v>Deschutes County</v>
          </cell>
        </row>
        <row r="24">
          <cell r="CK24" t="str">
            <v>Redmond</v>
          </cell>
          <cell r="CL24">
            <v>27595</v>
          </cell>
          <cell r="CM24" t="str">
            <v>#2017-13/AN2017-0018</v>
          </cell>
          <cell r="CN24">
            <v>42801</v>
          </cell>
          <cell r="CO24">
            <v>0</v>
          </cell>
          <cell r="CP24">
            <v>0</v>
          </cell>
          <cell r="CQ24">
            <v>27595</v>
          </cell>
        </row>
        <row r="25">
          <cell r="CK25" t="str">
            <v>Josephine County</v>
          </cell>
        </row>
        <row r="26">
          <cell r="CK26" t="str">
            <v>Cave Junction</v>
          </cell>
          <cell r="CL26">
            <v>1918</v>
          </cell>
          <cell r="CM26" t="str">
            <v>#562/AN2017-0017</v>
          </cell>
          <cell r="CN26">
            <v>42800</v>
          </cell>
          <cell r="CO26">
            <v>1</v>
          </cell>
          <cell r="CP26">
            <v>3</v>
          </cell>
          <cell r="CQ26">
            <v>1921</v>
          </cell>
        </row>
        <row r="27">
          <cell r="CK27" t="str">
            <v>Lane County</v>
          </cell>
        </row>
        <row r="28">
          <cell r="CK28" t="str">
            <v>Cottage Grove</v>
          </cell>
          <cell r="CL28">
            <v>9890</v>
          </cell>
          <cell r="CM28" t="str">
            <v>#3074/AN2016-0014</v>
          </cell>
          <cell r="CN28">
            <v>42731</v>
          </cell>
          <cell r="CO28">
            <v>1</v>
          </cell>
          <cell r="CP28">
            <v>2</v>
          </cell>
          <cell r="CQ28">
            <v>9892</v>
          </cell>
        </row>
        <row r="29">
          <cell r="CK29" t="str">
            <v>City by County</v>
          </cell>
          <cell r="CL29" t="str">
            <v>Previously Certified Population1</v>
          </cell>
          <cell r="CM29" t="str">
            <v>Annexation Ordinance/Filing Number</v>
          </cell>
          <cell r="CN29" t="str">
            <v>File Date of Annexation</v>
          </cell>
          <cell r="CO29" t="str">
            <v>HOUSING UNITS2 Annexed, Recorded Jan. 1-Mar. 31, 2017</v>
          </cell>
          <cell r="CP29" t="str">
            <v>POPULATION Annexed, Recorded Jan. 1-Mar. 31, 2017</v>
          </cell>
          <cell r="CQ29" t="str">
            <v>Certified Population on Mar. 31, 20173</v>
          </cell>
        </row>
        <row r="30">
          <cell r="CK30" t="str">
            <v>Marion County</v>
          </cell>
        </row>
        <row r="31">
          <cell r="CK31" t="str">
            <v>Salem</v>
          </cell>
          <cell r="CL31">
            <v>162060</v>
          </cell>
          <cell r="CM31" t="str">
            <v>#13-13/AN 2015-0030</v>
          </cell>
          <cell r="CN31">
            <v>42456</v>
          </cell>
          <cell r="CO31">
            <v>1</v>
          </cell>
          <cell r="CP31">
            <v>0</v>
          </cell>
          <cell r="CQ31">
            <v>162077</v>
          </cell>
        </row>
        <row r="32">
          <cell r="CM32" t="str">
            <v>#14-13/AN 2015-0031</v>
          </cell>
          <cell r="CN32">
            <v>42456</v>
          </cell>
          <cell r="CO32">
            <v>2</v>
          </cell>
          <cell r="CP32">
            <v>2</v>
          </cell>
        </row>
        <row r="33">
          <cell r="CM33" t="str">
            <v>#15-13/AN 2015-0032</v>
          </cell>
          <cell r="CN33">
            <v>42456</v>
          </cell>
          <cell r="CO33">
            <v>1</v>
          </cell>
          <cell r="CP33">
            <v>0</v>
          </cell>
        </row>
        <row r="34">
          <cell r="CK34" t="str">
            <v>Salem SUM</v>
          </cell>
          <cell r="CO34">
            <v>4</v>
          </cell>
          <cell r="CP34">
            <v>2</v>
          </cell>
        </row>
        <row r="35">
          <cell r="CK35" t="str">
            <v>Multnomah County</v>
          </cell>
        </row>
        <row r="36">
          <cell r="CK36" t="str">
            <v>Troutdale</v>
          </cell>
          <cell r="CL36">
            <v>16035</v>
          </cell>
          <cell r="CM36" t="str">
            <v>RES#2359/AN2017-0025</v>
          </cell>
          <cell r="CN36">
            <v>42774</v>
          </cell>
          <cell r="CO36">
            <v>1</v>
          </cell>
          <cell r="CP36">
            <v>2</v>
          </cell>
          <cell r="CQ36">
            <v>16037</v>
          </cell>
        </row>
        <row r="37">
          <cell r="CK37" t="str">
            <v>Polk County</v>
          </cell>
        </row>
        <row r="38">
          <cell r="CK38" t="str">
            <v>Salem*</v>
          </cell>
          <cell r="CL38">
            <v>162060</v>
          </cell>
          <cell r="CM38" t="str">
            <v>#11-13/AN 2015-0028</v>
          </cell>
          <cell r="CN38">
            <v>42456</v>
          </cell>
          <cell r="CO38">
            <v>1</v>
          </cell>
          <cell r="CP38">
            <v>4</v>
          </cell>
        </row>
        <row r="39">
          <cell r="CM39" t="str">
            <v>#12-13/AN 2015-0029</v>
          </cell>
          <cell r="CN39">
            <v>42456</v>
          </cell>
          <cell r="CO39">
            <v>6</v>
          </cell>
          <cell r="CP39">
            <v>11</v>
          </cell>
        </row>
        <row r="40">
          <cell r="CK40" t="str">
            <v>Salem SUM</v>
          </cell>
          <cell r="CO40">
            <v>7</v>
          </cell>
          <cell r="CP40">
            <v>15</v>
          </cell>
        </row>
        <row r="41">
          <cell r="CK41" t="str">
            <v>Union County</v>
          </cell>
        </row>
        <row r="42">
          <cell r="CK42" t="str">
            <v>La Grande</v>
          </cell>
          <cell r="CL42">
            <v>13200</v>
          </cell>
          <cell r="CM42" t="str">
            <v>#4742/AN2017-0014</v>
          </cell>
          <cell r="CN42">
            <v>42782</v>
          </cell>
          <cell r="CO42">
            <v>0</v>
          </cell>
          <cell r="CP42">
            <v>0</v>
          </cell>
          <cell r="CQ42">
            <v>13200</v>
          </cell>
        </row>
        <row r="43">
          <cell r="CK43" t="str">
            <v>Washington County</v>
          </cell>
        </row>
        <row r="44">
          <cell r="CK44" t="str">
            <v>Beaverton</v>
          </cell>
          <cell r="CL44">
            <v>95385</v>
          </cell>
          <cell r="CM44" t="str">
            <v>#4699/AN2017-0022</v>
          </cell>
          <cell r="CN44">
            <v>42753</v>
          </cell>
          <cell r="CO44">
            <v>0</v>
          </cell>
          <cell r="CP44">
            <v>0</v>
          </cell>
          <cell r="CQ44">
            <v>95385</v>
          </cell>
        </row>
        <row r="45">
          <cell r="CK45" t="str">
            <v>Adair Village</v>
          </cell>
          <cell r="CQ45">
            <v>0</v>
          </cell>
        </row>
        <row r="46">
          <cell r="CK46" t="str">
            <v>Adams</v>
          </cell>
          <cell r="CQ46">
            <v>0</v>
          </cell>
        </row>
        <row r="47">
          <cell r="CK47" t="str">
            <v>Adrian</v>
          </cell>
          <cell r="CQ47">
            <v>0</v>
          </cell>
        </row>
        <row r="48">
          <cell r="CK48" t="str">
            <v>Albany</v>
          </cell>
          <cell r="CQ48">
            <v>0</v>
          </cell>
        </row>
        <row r="49">
          <cell r="CK49" t="str">
            <v>Amity</v>
          </cell>
          <cell r="CQ49">
            <v>0</v>
          </cell>
        </row>
        <row r="50">
          <cell r="CK50" t="str">
            <v>Antelope</v>
          </cell>
          <cell r="CQ50">
            <v>0</v>
          </cell>
        </row>
        <row r="51">
          <cell r="CK51" t="str">
            <v>Arlington</v>
          </cell>
          <cell r="CQ51">
            <v>0</v>
          </cell>
        </row>
        <row r="52">
          <cell r="CK52" t="str">
            <v>Ashland</v>
          </cell>
          <cell r="CQ52">
            <v>0</v>
          </cell>
        </row>
        <row r="53">
          <cell r="CK53" t="str">
            <v>Astoria</v>
          </cell>
          <cell r="CQ53">
            <v>0</v>
          </cell>
        </row>
        <row r="54">
          <cell r="CK54" t="str">
            <v>Athena</v>
          </cell>
          <cell r="CQ54">
            <v>0</v>
          </cell>
        </row>
        <row r="55">
          <cell r="CK55" t="str">
            <v>Aumsville</v>
          </cell>
          <cell r="CQ55">
            <v>0</v>
          </cell>
        </row>
        <row r="56">
          <cell r="CK56" t="str">
            <v>Aurora</v>
          </cell>
          <cell r="CQ56">
            <v>0</v>
          </cell>
        </row>
        <row r="57">
          <cell r="CK57" t="str">
            <v>Baker City</v>
          </cell>
          <cell r="CQ57">
            <v>0</v>
          </cell>
        </row>
        <row r="58">
          <cell r="CK58" t="str">
            <v>Bandon</v>
          </cell>
          <cell r="CQ58">
            <v>0</v>
          </cell>
        </row>
        <row r="59">
          <cell r="CK59" t="str">
            <v>Banks</v>
          </cell>
          <cell r="CQ59">
            <v>0</v>
          </cell>
        </row>
        <row r="60">
          <cell r="CK60" t="str">
            <v>Barlow</v>
          </cell>
          <cell r="CQ60">
            <v>0</v>
          </cell>
        </row>
        <row r="61">
          <cell r="CK61" t="str">
            <v>Bay City</v>
          </cell>
          <cell r="CQ61">
            <v>0</v>
          </cell>
        </row>
        <row r="62">
          <cell r="CK62" t="str">
            <v>Beaverton</v>
          </cell>
          <cell r="CQ62">
            <v>0</v>
          </cell>
        </row>
        <row r="63">
          <cell r="CK63" t="str">
            <v>Bend</v>
          </cell>
          <cell r="CQ63">
            <v>0</v>
          </cell>
        </row>
        <row r="64">
          <cell r="CK64" t="str">
            <v>Boardman</v>
          </cell>
          <cell r="CQ64">
            <v>0</v>
          </cell>
        </row>
        <row r="65">
          <cell r="CK65" t="str">
            <v>Bonanza</v>
          </cell>
          <cell r="CQ65">
            <v>0</v>
          </cell>
        </row>
        <row r="66">
          <cell r="CK66" t="str">
            <v>Brookings</v>
          </cell>
          <cell r="CQ66">
            <v>0</v>
          </cell>
        </row>
        <row r="67">
          <cell r="CK67" t="str">
            <v>Brownsville</v>
          </cell>
          <cell r="CQ67">
            <v>0</v>
          </cell>
        </row>
        <row r="68">
          <cell r="CK68" t="str">
            <v>Burns</v>
          </cell>
          <cell r="CQ68">
            <v>0</v>
          </cell>
        </row>
        <row r="69">
          <cell r="CK69" t="str">
            <v>Butte Falls</v>
          </cell>
          <cell r="CQ69">
            <v>0</v>
          </cell>
        </row>
        <row r="70">
          <cell r="CK70" t="str">
            <v>Canby</v>
          </cell>
          <cell r="CQ70">
            <v>0</v>
          </cell>
        </row>
        <row r="71">
          <cell r="CK71" t="str">
            <v>Cannon Beach</v>
          </cell>
          <cell r="CQ71">
            <v>0</v>
          </cell>
        </row>
        <row r="72">
          <cell r="CK72" t="str">
            <v>Canyon City</v>
          </cell>
          <cell r="CQ72">
            <v>0</v>
          </cell>
        </row>
        <row r="73">
          <cell r="CK73" t="str">
            <v>Canyonville</v>
          </cell>
          <cell r="CQ73">
            <v>0</v>
          </cell>
        </row>
        <row r="74">
          <cell r="CK74" t="str">
            <v>Carlton</v>
          </cell>
          <cell r="CQ74">
            <v>0</v>
          </cell>
        </row>
        <row r="75">
          <cell r="CK75" t="str">
            <v>Cascade Locks</v>
          </cell>
          <cell r="CQ75">
            <v>0</v>
          </cell>
        </row>
        <row r="76">
          <cell r="CK76" t="str">
            <v>Cave Junction</v>
          </cell>
          <cell r="CQ76">
            <v>0</v>
          </cell>
        </row>
        <row r="77">
          <cell r="CK77" t="str">
            <v>Central Point</v>
          </cell>
          <cell r="CQ77">
            <v>0</v>
          </cell>
        </row>
        <row r="78">
          <cell r="CK78" t="str">
            <v>Chiloquin</v>
          </cell>
          <cell r="CQ78">
            <v>0</v>
          </cell>
        </row>
        <row r="79">
          <cell r="CK79" t="str">
            <v>Clatskanie</v>
          </cell>
          <cell r="CQ79">
            <v>0</v>
          </cell>
        </row>
        <row r="80">
          <cell r="CK80" t="str">
            <v>Coburg</v>
          </cell>
          <cell r="CQ80">
            <v>0</v>
          </cell>
        </row>
        <row r="81">
          <cell r="CK81" t="str">
            <v>Columbia City</v>
          </cell>
          <cell r="CQ81">
            <v>0</v>
          </cell>
        </row>
        <row r="82">
          <cell r="CK82" t="str">
            <v>Condon</v>
          </cell>
          <cell r="CQ82">
            <v>0</v>
          </cell>
        </row>
        <row r="83">
          <cell r="CK83" t="str">
            <v>Coos Bay</v>
          </cell>
          <cell r="CQ83">
            <v>0</v>
          </cell>
        </row>
        <row r="84">
          <cell r="CK84" t="str">
            <v>Coquille</v>
          </cell>
          <cell r="CQ84">
            <v>0</v>
          </cell>
        </row>
        <row r="85">
          <cell r="CK85" t="str">
            <v>Cornelius</v>
          </cell>
          <cell r="CQ85">
            <v>0</v>
          </cell>
        </row>
        <row r="86">
          <cell r="CK86" t="str">
            <v>Corvallis</v>
          </cell>
          <cell r="CQ86">
            <v>0</v>
          </cell>
        </row>
        <row r="87">
          <cell r="CK87" t="str">
            <v>Cottage Grove</v>
          </cell>
          <cell r="CQ87">
            <v>0</v>
          </cell>
        </row>
        <row r="88">
          <cell r="CK88" t="str">
            <v>Cove</v>
          </cell>
          <cell r="CQ88">
            <v>0</v>
          </cell>
        </row>
        <row r="89">
          <cell r="CK89" t="str">
            <v>Creswell</v>
          </cell>
          <cell r="CQ89">
            <v>0</v>
          </cell>
        </row>
        <row r="90">
          <cell r="CK90" t="str">
            <v>Culver</v>
          </cell>
          <cell r="CQ90">
            <v>0</v>
          </cell>
        </row>
        <row r="91">
          <cell r="CK91" t="str">
            <v>Dallas</v>
          </cell>
          <cell r="CQ91">
            <v>0</v>
          </cell>
        </row>
        <row r="92">
          <cell r="CK92" t="str">
            <v>Damascus</v>
          </cell>
          <cell r="CQ92">
            <v>0</v>
          </cell>
        </row>
        <row r="93">
          <cell r="CK93" t="str">
            <v>Dayton</v>
          </cell>
          <cell r="CQ93">
            <v>0</v>
          </cell>
        </row>
        <row r="94">
          <cell r="CK94" t="str">
            <v>Dayville</v>
          </cell>
          <cell r="CQ94">
            <v>0</v>
          </cell>
        </row>
        <row r="95">
          <cell r="CK95" t="str">
            <v>Depoe Bay</v>
          </cell>
          <cell r="CQ95">
            <v>0</v>
          </cell>
        </row>
        <row r="96">
          <cell r="CK96" t="str">
            <v>Detroit</v>
          </cell>
          <cell r="CQ96">
            <v>0</v>
          </cell>
        </row>
        <row r="97">
          <cell r="CK97" t="str">
            <v>Donald</v>
          </cell>
          <cell r="CQ97">
            <v>0</v>
          </cell>
        </row>
        <row r="98">
          <cell r="CK98" t="str">
            <v>Drain</v>
          </cell>
          <cell r="CQ98">
            <v>0</v>
          </cell>
        </row>
        <row r="99">
          <cell r="CK99" t="str">
            <v>Dufur</v>
          </cell>
          <cell r="CQ99">
            <v>0</v>
          </cell>
        </row>
        <row r="100">
          <cell r="CK100" t="str">
            <v>Dundee</v>
          </cell>
          <cell r="CQ100">
            <v>0</v>
          </cell>
        </row>
        <row r="101">
          <cell r="CK101" t="str">
            <v>Dunes City</v>
          </cell>
          <cell r="CQ101">
            <v>0</v>
          </cell>
        </row>
        <row r="102">
          <cell r="CK102" t="str">
            <v>Durham</v>
          </cell>
          <cell r="CQ102">
            <v>0</v>
          </cell>
        </row>
        <row r="103">
          <cell r="CK103" t="str">
            <v>Eagle Point</v>
          </cell>
          <cell r="CQ103">
            <v>0</v>
          </cell>
        </row>
        <row r="104">
          <cell r="CK104" t="str">
            <v>Echo</v>
          </cell>
          <cell r="CQ104">
            <v>0</v>
          </cell>
        </row>
        <row r="105">
          <cell r="CK105" t="str">
            <v>Elgin</v>
          </cell>
          <cell r="CQ105">
            <v>0</v>
          </cell>
        </row>
        <row r="106">
          <cell r="CK106" t="str">
            <v>Elkton</v>
          </cell>
          <cell r="CQ106">
            <v>0</v>
          </cell>
        </row>
        <row r="107">
          <cell r="CK107" t="str">
            <v>Enterprise</v>
          </cell>
          <cell r="CQ107">
            <v>0</v>
          </cell>
        </row>
        <row r="108">
          <cell r="CK108" t="str">
            <v>Estacada</v>
          </cell>
          <cell r="CQ108">
            <v>0</v>
          </cell>
        </row>
        <row r="109">
          <cell r="CK109" t="str">
            <v>Eugene</v>
          </cell>
          <cell r="CQ109">
            <v>0</v>
          </cell>
        </row>
        <row r="110">
          <cell r="CK110" t="str">
            <v>Fairview</v>
          </cell>
          <cell r="CQ110">
            <v>0</v>
          </cell>
        </row>
        <row r="111">
          <cell r="CK111" t="str">
            <v>Falls City</v>
          </cell>
          <cell r="CQ111">
            <v>0</v>
          </cell>
        </row>
        <row r="112">
          <cell r="CK112" t="str">
            <v>Florence</v>
          </cell>
          <cell r="CQ112">
            <v>0</v>
          </cell>
        </row>
        <row r="113">
          <cell r="CK113" t="str">
            <v>Forest Grove</v>
          </cell>
          <cell r="CQ113">
            <v>0</v>
          </cell>
        </row>
        <row r="114">
          <cell r="CK114" t="str">
            <v>Fossil</v>
          </cell>
          <cell r="CQ114">
            <v>0</v>
          </cell>
        </row>
        <row r="115">
          <cell r="CK115" t="str">
            <v>Garibaldi</v>
          </cell>
          <cell r="CQ115">
            <v>0</v>
          </cell>
        </row>
        <row r="116">
          <cell r="CK116" t="str">
            <v>Gaston</v>
          </cell>
          <cell r="CQ116">
            <v>0</v>
          </cell>
        </row>
        <row r="117">
          <cell r="CK117" t="str">
            <v>Gates</v>
          </cell>
          <cell r="CQ117">
            <v>0</v>
          </cell>
        </row>
        <row r="118">
          <cell r="CK118" t="str">
            <v>Gearhart</v>
          </cell>
          <cell r="CQ118">
            <v>0</v>
          </cell>
        </row>
        <row r="119">
          <cell r="CK119" t="str">
            <v>Gervais</v>
          </cell>
          <cell r="CQ119">
            <v>0</v>
          </cell>
        </row>
        <row r="120">
          <cell r="CK120" t="str">
            <v>Gladstone</v>
          </cell>
          <cell r="CQ120">
            <v>0</v>
          </cell>
        </row>
        <row r="121">
          <cell r="CK121" t="str">
            <v>Glendale</v>
          </cell>
          <cell r="CQ121">
            <v>0</v>
          </cell>
        </row>
        <row r="122">
          <cell r="CK122" t="str">
            <v>Gold Beach</v>
          </cell>
          <cell r="CQ122">
            <v>0</v>
          </cell>
        </row>
        <row r="123">
          <cell r="CK123" t="str">
            <v>Gold Hill</v>
          </cell>
          <cell r="CQ123">
            <v>0</v>
          </cell>
        </row>
        <row r="124">
          <cell r="CK124" t="str">
            <v>Granite</v>
          </cell>
          <cell r="CQ124">
            <v>0</v>
          </cell>
        </row>
        <row r="125">
          <cell r="CK125" t="str">
            <v>Grants Pass</v>
          </cell>
          <cell r="CQ125">
            <v>0</v>
          </cell>
        </row>
        <row r="126">
          <cell r="CK126" t="str">
            <v>Grass Valley</v>
          </cell>
          <cell r="CQ126">
            <v>0</v>
          </cell>
        </row>
        <row r="127">
          <cell r="CK127" t="str">
            <v>Greenhorn</v>
          </cell>
          <cell r="CQ127">
            <v>0</v>
          </cell>
        </row>
        <row r="128">
          <cell r="CK128" t="str">
            <v>Gresham</v>
          </cell>
          <cell r="CQ128">
            <v>0</v>
          </cell>
        </row>
        <row r="129">
          <cell r="CK129" t="str">
            <v>Haines</v>
          </cell>
          <cell r="CQ129">
            <v>0</v>
          </cell>
        </row>
        <row r="130">
          <cell r="CK130" t="str">
            <v>Halfway</v>
          </cell>
          <cell r="CQ130">
            <v>0</v>
          </cell>
        </row>
        <row r="131">
          <cell r="CK131" t="str">
            <v>Halsey</v>
          </cell>
          <cell r="CQ131">
            <v>0</v>
          </cell>
        </row>
        <row r="132">
          <cell r="CK132" t="str">
            <v>Happy Valley</v>
          </cell>
          <cell r="CQ132">
            <v>0</v>
          </cell>
        </row>
        <row r="133">
          <cell r="CK133" t="str">
            <v>Harrisburg</v>
          </cell>
          <cell r="CQ133">
            <v>0</v>
          </cell>
        </row>
        <row r="134">
          <cell r="CK134" t="str">
            <v>Helix</v>
          </cell>
          <cell r="CQ134">
            <v>0</v>
          </cell>
        </row>
        <row r="135">
          <cell r="CK135" t="str">
            <v>Heppner</v>
          </cell>
          <cell r="CQ135">
            <v>0</v>
          </cell>
        </row>
        <row r="136">
          <cell r="CK136" t="str">
            <v>Hermiston</v>
          </cell>
          <cell r="CQ136">
            <v>0</v>
          </cell>
        </row>
        <row r="137">
          <cell r="CK137" t="str">
            <v>Hillsboro</v>
          </cell>
          <cell r="CQ137">
            <v>0</v>
          </cell>
        </row>
        <row r="138">
          <cell r="CK138" t="str">
            <v>Hines</v>
          </cell>
          <cell r="CQ138">
            <v>0</v>
          </cell>
        </row>
        <row r="139">
          <cell r="CK139" t="str">
            <v>Hood River</v>
          </cell>
          <cell r="CQ139">
            <v>0</v>
          </cell>
        </row>
        <row r="140">
          <cell r="CK140" t="str">
            <v>Hubbard</v>
          </cell>
          <cell r="CQ140">
            <v>0</v>
          </cell>
        </row>
        <row r="141">
          <cell r="CK141" t="str">
            <v>Huntington</v>
          </cell>
          <cell r="CQ141">
            <v>0</v>
          </cell>
        </row>
        <row r="142">
          <cell r="CK142" t="str">
            <v>Idanha</v>
          </cell>
          <cell r="CQ142">
            <v>0</v>
          </cell>
        </row>
        <row r="143">
          <cell r="CK143" t="str">
            <v>Imbler</v>
          </cell>
          <cell r="CQ143">
            <v>0</v>
          </cell>
        </row>
        <row r="144">
          <cell r="CK144" t="str">
            <v>Independence</v>
          </cell>
          <cell r="CQ144">
            <v>0</v>
          </cell>
        </row>
        <row r="145">
          <cell r="CK145" t="str">
            <v>Ione</v>
          </cell>
          <cell r="CQ145">
            <v>0</v>
          </cell>
        </row>
        <row r="146">
          <cell r="CK146" t="str">
            <v>Irrigon</v>
          </cell>
          <cell r="CQ146">
            <v>0</v>
          </cell>
        </row>
        <row r="147">
          <cell r="CK147" t="str">
            <v>Island City</v>
          </cell>
          <cell r="CQ147">
            <v>0</v>
          </cell>
        </row>
        <row r="148">
          <cell r="CK148" t="str">
            <v>Jacksonville</v>
          </cell>
          <cell r="CQ148">
            <v>0</v>
          </cell>
        </row>
        <row r="149">
          <cell r="CK149" t="str">
            <v>Jefferson</v>
          </cell>
          <cell r="CQ149">
            <v>0</v>
          </cell>
        </row>
        <row r="150">
          <cell r="CK150" t="str">
            <v>John Day</v>
          </cell>
          <cell r="CQ150">
            <v>0</v>
          </cell>
        </row>
        <row r="151">
          <cell r="CK151" t="str">
            <v>Johnson City</v>
          </cell>
          <cell r="CQ151">
            <v>0</v>
          </cell>
        </row>
        <row r="152">
          <cell r="CK152" t="str">
            <v>Jordan Valley</v>
          </cell>
          <cell r="CQ152">
            <v>0</v>
          </cell>
        </row>
        <row r="153">
          <cell r="CK153" t="str">
            <v>Joseph</v>
          </cell>
          <cell r="CQ153">
            <v>0</v>
          </cell>
        </row>
        <row r="154">
          <cell r="CK154" t="str">
            <v>Junction City</v>
          </cell>
          <cell r="CQ154">
            <v>0</v>
          </cell>
        </row>
        <row r="155">
          <cell r="CK155" t="str">
            <v>Keizer</v>
          </cell>
          <cell r="CQ155">
            <v>0</v>
          </cell>
        </row>
        <row r="156">
          <cell r="CK156" t="str">
            <v>King City</v>
          </cell>
          <cell r="CQ156">
            <v>0</v>
          </cell>
        </row>
        <row r="157">
          <cell r="CK157" t="str">
            <v>Klamath Falls</v>
          </cell>
          <cell r="CQ157">
            <v>0</v>
          </cell>
        </row>
        <row r="158">
          <cell r="CK158" t="str">
            <v>La Grande</v>
          </cell>
          <cell r="CQ158">
            <v>0</v>
          </cell>
        </row>
        <row r="159">
          <cell r="CK159" t="str">
            <v>La Pine</v>
          </cell>
          <cell r="CQ159">
            <v>0</v>
          </cell>
        </row>
        <row r="160">
          <cell r="CK160" t="str">
            <v>Lafayette</v>
          </cell>
          <cell r="CQ160">
            <v>0</v>
          </cell>
        </row>
        <row r="161">
          <cell r="CK161" t="str">
            <v>Lake Oswego</v>
          </cell>
          <cell r="CQ161">
            <v>0</v>
          </cell>
        </row>
        <row r="162">
          <cell r="CK162" t="str">
            <v>Lakeside</v>
          </cell>
          <cell r="CQ162">
            <v>0</v>
          </cell>
        </row>
        <row r="163">
          <cell r="CK163" t="str">
            <v>Lakeview</v>
          </cell>
          <cell r="CQ163">
            <v>0</v>
          </cell>
        </row>
        <row r="164">
          <cell r="CK164" t="str">
            <v>Lebanon</v>
          </cell>
          <cell r="CQ164">
            <v>0</v>
          </cell>
        </row>
        <row r="165">
          <cell r="CK165" t="str">
            <v>Lexington</v>
          </cell>
          <cell r="CQ165">
            <v>0</v>
          </cell>
        </row>
        <row r="166">
          <cell r="CK166" t="str">
            <v>Lincoln City</v>
          </cell>
          <cell r="CQ166">
            <v>0</v>
          </cell>
        </row>
        <row r="167">
          <cell r="CK167" t="str">
            <v>Lonerock</v>
          </cell>
          <cell r="CQ167">
            <v>0</v>
          </cell>
        </row>
        <row r="168">
          <cell r="CK168" t="str">
            <v>Long Creek</v>
          </cell>
          <cell r="CQ168">
            <v>0</v>
          </cell>
        </row>
        <row r="169">
          <cell r="CK169" t="str">
            <v>Lostine</v>
          </cell>
          <cell r="CQ169">
            <v>0</v>
          </cell>
        </row>
        <row r="170">
          <cell r="CK170" t="str">
            <v>Lowell</v>
          </cell>
          <cell r="CQ170">
            <v>0</v>
          </cell>
        </row>
        <row r="171">
          <cell r="CK171" t="str">
            <v>Lyons</v>
          </cell>
          <cell r="CQ171">
            <v>0</v>
          </cell>
        </row>
        <row r="172">
          <cell r="CK172" t="str">
            <v>Madras</v>
          </cell>
          <cell r="CQ172">
            <v>0</v>
          </cell>
        </row>
        <row r="173">
          <cell r="CK173" t="str">
            <v>Malin</v>
          </cell>
          <cell r="CQ173">
            <v>0</v>
          </cell>
        </row>
        <row r="174">
          <cell r="CK174" t="str">
            <v>Manzanita</v>
          </cell>
          <cell r="CQ174">
            <v>0</v>
          </cell>
        </row>
        <row r="175">
          <cell r="CK175" t="str">
            <v>Maupin</v>
          </cell>
          <cell r="CQ175">
            <v>0</v>
          </cell>
        </row>
        <row r="176">
          <cell r="CK176" t="str">
            <v>Maywood Park</v>
          </cell>
          <cell r="CQ176">
            <v>0</v>
          </cell>
        </row>
        <row r="177">
          <cell r="CK177" t="str">
            <v>McMinnville</v>
          </cell>
          <cell r="CQ177">
            <v>0</v>
          </cell>
        </row>
        <row r="178">
          <cell r="CK178" t="str">
            <v>Medford</v>
          </cell>
          <cell r="CQ178">
            <v>0</v>
          </cell>
        </row>
        <row r="179">
          <cell r="CK179" t="str">
            <v>Merrill</v>
          </cell>
          <cell r="CQ179">
            <v>0</v>
          </cell>
        </row>
        <row r="180">
          <cell r="CK180" t="str">
            <v>Metolius</v>
          </cell>
          <cell r="CQ180">
            <v>0</v>
          </cell>
        </row>
        <row r="181">
          <cell r="CK181" t="str">
            <v>Mill City</v>
          </cell>
          <cell r="CQ181">
            <v>0</v>
          </cell>
        </row>
        <row r="182">
          <cell r="CK182" t="str">
            <v>Millersburg</v>
          </cell>
          <cell r="CQ182">
            <v>0</v>
          </cell>
        </row>
        <row r="183">
          <cell r="CK183" t="str">
            <v>Milton-Freewater</v>
          </cell>
          <cell r="CQ183">
            <v>0</v>
          </cell>
        </row>
        <row r="184">
          <cell r="CK184" t="str">
            <v>Milwaukie</v>
          </cell>
          <cell r="CQ184">
            <v>0</v>
          </cell>
        </row>
        <row r="185">
          <cell r="CK185" t="str">
            <v>Mitchell</v>
          </cell>
          <cell r="CQ185">
            <v>0</v>
          </cell>
        </row>
        <row r="186">
          <cell r="CK186" t="str">
            <v>Molalla</v>
          </cell>
          <cell r="CQ186">
            <v>0</v>
          </cell>
        </row>
        <row r="187">
          <cell r="CK187" t="str">
            <v>Monmouth</v>
          </cell>
          <cell r="CQ187">
            <v>0</v>
          </cell>
        </row>
        <row r="188">
          <cell r="CK188" t="str">
            <v>Monroe</v>
          </cell>
          <cell r="CQ188">
            <v>0</v>
          </cell>
        </row>
        <row r="189">
          <cell r="CK189" t="str">
            <v>Monument</v>
          </cell>
          <cell r="CQ189">
            <v>0</v>
          </cell>
        </row>
        <row r="190">
          <cell r="CK190" t="str">
            <v>Moro</v>
          </cell>
          <cell r="CQ190">
            <v>0</v>
          </cell>
        </row>
        <row r="191">
          <cell r="CK191" t="str">
            <v>Mosier</v>
          </cell>
          <cell r="CQ191">
            <v>0</v>
          </cell>
        </row>
        <row r="192">
          <cell r="CK192" t="str">
            <v>Mt. Angel</v>
          </cell>
          <cell r="CQ192">
            <v>0</v>
          </cell>
        </row>
        <row r="193">
          <cell r="CK193" t="str">
            <v>Mt. Vernon</v>
          </cell>
          <cell r="CQ193">
            <v>0</v>
          </cell>
        </row>
        <row r="194">
          <cell r="CK194" t="str">
            <v>Myrtle Creek</v>
          </cell>
          <cell r="CQ194">
            <v>0</v>
          </cell>
        </row>
        <row r="195">
          <cell r="CK195" t="str">
            <v>Myrtle Point</v>
          </cell>
          <cell r="CQ195">
            <v>0</v>
          </cell>
        </row>
        <row r="196">
          <cell r="CK196" t="str">
            <v>Nehalem</v>
          </cell>
          <cell r="CQ196">
            <v>0</v>
          </cell>
        </row>
        <row r="197">
          <cell r="CK197" t="str">
            <v>Newberg</v>
          </cell>
          <cell r="CQ197">
            <v>0</v>
          </cell>
        </row>
        <row r="198">
          <cell r="CK198" t="str">
            <v>Newport</v>
          </cell>
          <cell r="CQ198">
            <v>0</v>
          </cell>
        </row>
        <row r="199">
          <cell r="CK199" t="str">
            <v>North Bend</v>
          </cell>
          <cell r="CQ199">
            <v>0</v>
          </cell>
        </row>
        <row r="200">
          <cell r="CK200" t="str">
            <v>North Plains</v>
          </cell>
          <cell r="CQ200">
            <v>0</v>
          </cell>
        </row>
        <row r="201">
          <cell r="CK201" t="str">
            <v>North Powder</v>
          </cell>
          <cell r="CQ201">
            <v>0</v>
          </cell>
        </row>
        <row r="202">
          <cell r="CK202" t="str">
            <v>Nyssa</v>
          </cell>
          <cell r="CQ202">
            <v>0</v>
          </cell>
        </row>
        <row r="203">
          <cell r="CK203" t="str">
            <v>Oakland</v>
          </cell>
          <cell r="CQ203">
            <v>0</v>
          </cell>
        </row>
        <row r="204">
          <cell r="CK204" t="str">
            <v>Oakridge</v>
          </cell>
          <cell r="CQ204">
            <v>0</v>
          </cell>
        </row>
        <row r="205">
          <cell r="CK205" t="str">
            <v>Ontario</v>
          </cell>
          <cell r="CQ205">
            <v>0</v>
          </cell>
        </row>
        <row r="206">
          <cell r="CK206" t="str">
            <v>Oregon City</v>
          </cell>
          <cell r="CQ206">
            <v>0</v>
          </cell>
        </row>
        <row r="207">
          <cell r="CK207" t="str">
            <v>Paisley</v>
          </cell>
          <cell r="CQ207">
            <v>0</v>
          </cell>
        </row>
        <row r="208">
          <cell r="CK208" t="str">
            <v>Pendleton</v>
          </cell>
          <cell r="CQ208">
            <v>0</v>
          </cell>
        </row>
        <row r="209">
          <cell r="CK209" t="str">
            <v>Philomath</v>
          </cell>
          <cell r="CQ209">
            <v>0</v>
          </cell>
        </row>
        <row r="210">
          <cell r="CK210" t="str">
            <v>Phoenix</v>
          </cell>
          <cell r="CQ210">
            <v>0</v>
          </cell>
        </row>
        <row r="211">
          <cell r="CK211" t="str">
            <v>Pilot Rock</v>
          </cell>
          <cell r="CQ211">
            <v>0</v>
          </cell>
        </row>
        <row r="212">
          <cell r="CK212" t="str">
            <v>Port Orford</v>
          </cell>
          <cell r="CQ212">
            <v>0</v>
          </cell>
        </row>
        <row r="213">
          <cell r="CK213" t="str">
            <v>Portland</v>
          </cell>
          <cell r="CQ213">
            <v>0</v>
          </cell>
        </row>
        <row r="214">
          <cell r="CK214" t="str">
            <v>Powers</v>
          </cell>
          <cell r="CQ214">
            <v>0</v>
          </cell>
        </row>
        <row r="215">
          <cell r="CK215" t="str">
            <v>Prairie City</v>
          </cell>
          <cell r="CQ215">
            <v>0</v>
          </cell>
        </row>
        <row r="216">
          <cell r="CK216" t="str">
            <v>Prescott</v>
          </cell>
          <cell r="CQ216">
            <v>0</v>
          </cell>
        </row>
        <row r="217">
          <cell r="CK217" t="str">
            <v>Prineville</v>
          </cell>
          <cell r="CQ217">
            <v>0</v>
          </cell>
        </row>
        <row r="218">
          <cell r="CK218" t="str">
            <v>Rainier</v>
          </cell>
          <cell r="CQ218">
            <v>0</v>
          </cell>
        </row>
        <row r="219">
          <cell r="CK219" t="str">
            <v>Redmond</v>
          </cell>
          <cell r="CQ219">
            <v>0</v>
          </cell>
        </row>
        <row r="220">
          <cell r="CK220" t="str">
            <v>Reedsport</v>
          </cell>
          <cell r="CQ220">
            <v>0</v>
          </cell>
        </row>
        <row r="221">
          <cell r="CK221" t="str">
            <v>Richland</v>
          </cell>
          <cell r="CQ221">
            <v>0</v>
          </cell>
        </row>
        <row r="222">
          <cell r="CK222" t="str">
            <v>Riddle</v>
          </cell>
          <cell r="CQ222">
            <v>0</v>
          </cell>
        </row>
        <row r="223">
          <cell r="CK223" t="str">
            <v>Rivergrove</v>
          </cell>
          <cell r="CQ223">
            <v>0</v>
          </cell>
        </row>
        <row r="224">
          <cell r="CK224" t="str">
            <v>Rockaway Beach</v>
          </cell>
          <cell r="CQ224">
            <v>0</v>
          </cell>
        </row>
        <row r="225">
          <cell r="CK225" t="str">
            <v>Rogue River</v>
          </cell>
          <cell r="CQ225">
            <v>0</v>
          </cell>
        </row>
        <row r="226">
          <cell r="CK226" t="str">
            <v>Roseburg</v>
          </cell>
          <cell r="CQ226">
            <v>0</v>
          </cell>
        </row>
        <row r="227">
          <cell r="CK227" t="str">
            <v>Rufus</v>
          </cell>
          <cell r="CQ227">
            <v>0</v>
          </cell>
        </row>
        <row r="228">
          <cell r="CK228" t="str">
            <v>Salem</v>
          </cell>
          <cell r="CQ228">
            <v>0</v>
          </cell>
        </row>
        <row r="229">
          <cell r="CK229" t="str">
            <v>Sandy</v>
          </cell>
          <cell r="CQ229">
            <v>0</v>
          </cell>
        </row>
        <row r="230">
          <cell r="CK230" t="str">
            <v>Scappoose</v>
          </cell>
          <cell r="CQ230">
            <v>0</v>
          </cell>
        </row>
        <row r="231">
          <cell r="CK231" t="str">
            <v>Scio</v>
          </cell>
          <cell r="CQ231">
            <v>0</v>
          </cell>
        </row>
        <row r="232">
          <cell r="CK232" t="str">
            <v>Scotts Mills</v>
          </cell>
          <cell r="CQ232">
            <v>0</v>
          </cell>
        </row>
        <row r="233">
          <cell r="CK233" t="str">
            <v>Seaside</v>
          </cell>
          <cell r="CQ233">
            <v>0</v>
          </cell>
        </row>
        <row r="234">
          <cell r="CK234" t="str">
            <v>Seneca</v>
          </cell>
          <cell r="CQ234">
            <v>0</v>
          </cell>
        </row>
        <row r="235">
          <cell r="CK235" t="str">
            <v>Shady Cove</v>
          </cell>
          <cell r="CQ235">
            <v>0</v>
          </cell>
        </row>
        <row r="236">
          <cell r="CK236" t="str">
            <v>Shaniko</v>
          </cell>
          <cell r="CQ236">
            <v>0</v>
          </cell>
        </row>
        <row r="237">
          <cell r="CK237" t="str">
            <v>Sheridan</v>
          </cell>
          <cell r="CQ237">
            <v>0</v>
          </cell>
        </row>
        <row r="238">
          <cell r="CK238" t="str">
            <v>Sherwood</v>
          </cell>
          <cell r="CQ238">
            <v>0</v>
          </cell>
        </row>
        <row r="239">
          <cell r="CK239" t="str">
            <v>Siletz</v>
          </cell>
          <cell r="CQ239">
            <v>0</v>
          </cell>
        </row>
        <row r="240">
          <cell r="CK240" t="str">
            <v>Silverton</v>
          </cell>
          <cell r="CQ240">
            <v>0</v>
          </cell>
        </row>
        <row r="241">
          <cell r="CK241" t="str">
            <v>Sisters</v>
          </cell>
          <cell r="CQ241">
            <v>0</v>
          </cell>
        </row>
        <row r="242">
          <cell r="CK242" t="str">
            <v>Sodaville</v>
          </cell>
          <cell r="CQ242">
            <v>0</v>
          </cell>
        </row>
        <row r="243">
          <cell r="CK243" t="str">
            <v>Spray</v>
          </cell>
          <cell r="CQ243">
            <v>0</v>
          </cell>
        </row>
        <row r="244">
          <cell r="CK244" t="str">
            <v>Springfield</v>
          </cell>
          <cell r="CQ244">
            <v>0</v>
          </cell>
        </row>
        <row r="245">
          <cell r="CK245" t="str">
            <v>St. Helens</v>
          </cell>
          <cell r="CQ245">
            <v>0</v>
          </cell>
        </row>
        <row r="246">
          <cell r="CK246" t="str">
            <v>St. Paul</v>
          </cell>
          <cell r="CQ246">
            <v>0</v>
          </cell>
        </row>
        <row r="247">
          <cell r="CK247" t="str">
            <v>Stanfield</v>
          </cell>
          <cell r="CQ247">
            <v>0</v>
          </cell>
        </row>
        <row r="248">
          <cell r="CK248" t="str">
            <v>Stayton</v>
          </cell>
          <cell r="CQ248">
            <v>0</v>
          </cell>
        </row>
        <row r="249">
          <cell r="CK249" t="str">
            <v>Sublimity</v>
          </cell>
          <cell r="CQ249">
            <v>0</v>
          </cell>
        </row>
        <row r="250">
          <cell r="CK250" t="str">
            <v>Summerville</v>
          </cell>
          <cell r="CQ250">
            <v>0</v>
          </cell>
        </row>
        <row r="251">
          <cell r="CK251" t="str">
            <v>Sumpter</v>
          </cell>
          <cell r="CQ251">
            <v>0</v>
          </cell>
        </row>
        <row r="252">
          <cell r="CK252" t="str">
            <v>Sutherlin</v>
          </cell>
          <cell r="CQ252">
            <v>0</v>
          </cell>
        </row>
        <row r="253">
          <cell r="CK253" t="str">
            <v>Sweet Home</v>
          </cell>
          <cell r="CQ253">
            <v>0</v>
          </cell>
        </row>
        <row r="254">
          <cell r="CK254" t="str">
            <v>Talent</v>
          </cell>
          <cell r="CQ254">
            <v>0</v>
          </cell>
        </row>
        <row r="255">
          <cell r="CK255" t="str">
            <v>Tangent</v>
          </cell>
          <cell r="CQ255">
            <v>0</v>
          </cell>
        </row>
        <row r="256">
          <cell r="CK256" t="str">
            <v>The Dalles</v>
          </cell>
          <cell r="CQ256">
            <v>0</v>
          </cell>
        </row>
        <row r="257">
          <cell r="CK257" t="str">
            <v>Tigard</v>
          </cell>
          <cell r="CQ257">
            <v>0</v>
          </cell>
        </row>
        <row r="258">
          <cell r="CK258" t="str">
            <v>Tillamook</v>
          </cell>
          <cell r="CQ258">
            <v>0</v>
          </cell>
        </row>
        <row r="259">
          <cell r="CK259" t="str">
            <v>Toledo</v>
          </cell>
          <cell r="CQ259">
            <v>0</v>
          </cell>
        </row>
        <row r="260">
          <cell r="CK260" t="str">
            <v>Troutdale</v>
          </cell>
          <cell r="CQ260">
            <v>0</v>
          </cell>
        </row>
        <row r="261">
          <cell r="CK261" t="str">
            <v>Tualatin</v>
          </cell>
          <cell r="CQ261">
            <v>0</v>
          </cell>
        </row>
        <row r="262">
          <cell r="CK262" t="str">
            <v>Turner</v>
          </cell>
          <cell r="CQ262">
            <v>0</v>
          </cell>
        </row>
        <row r="263">
          <cell r="CK263" t="str">
            <v>Ukiah</v>
          </cell>
          <cell r="CQ263">
            <v>0</v>
          </cell>
        </row>
        <row r="264">
          <cell r="CK264" t="str">
            <v>Umatilla</v>
          </cell>
          <cell r="CQ264">
            <v>0</v>
          </cell>
        </row>
        <row r="265">
          <cell r="CK265" t="str">
            <v>Union</v>
          </cell>
          <cell r="CQ265">
            <v>0</v>
          </cell>
        </row>
        <row r="266">
          <cell r="CK266" t="str">
            <v>Unity</v>
          </cell>
          <cell r="CQ266">
            <v>0</v>
          </cell>
        </row>
        <row r="267">
          <cell r="CK267" t="str">
            <v>Vale</v>
          </cell>
          <cell r="CQ267">
            <v>0</v>
          </cell>
        </row>
        <row r="268">
          <cell r="CK268" t="str">
            <v>Veneta</v>
          </cell>
          <cell r="CQ268">
            <v>0</v>
          </cell>
        </row>
        <row r="269">
          <cell r="CK269" t="str">
            <v>Vernonia</v>
          </cell>
          <cell r="CQ269">
            <v>0</v>
          </cell>
        </row>
        <row r="270">
          <cell r="CK270" t="str">
            <v>Waldport</v>
          </cell>
          <cell r="CQ270">
            <v>0</v>
          </cell>
        </row>
        <row r="271">
          <cell r="CK271" t="str">
            <v>Wallowa</v>
          </cell>
          <cell r="CQ271">
            <v>0</v>
          </cell>
        </row>
        <row r="272">
          <cell r="CK272" t="str">
            <v>Warrenton</v>
          </cell>
          <cell r="CQ272">
            <v>0</v>
          </cell>
        </row>
        <row r="273">
          <cell r="CK273" t="str">
            <v>Wasco</v>
          </cell>
          <cell r="CQ273">
            <v>0</v>
          </cell>
        </row>
        <row r="274">
          <cell r="CK274" t="str">
            <v>Waterloo</v>
          </cell>
          <cell r="CQ274">
            <v>0</v>
          </cell>
        </row>
        <row r="275">
          <cell r="CK275" t="str">
            <v>West Linn</v>
          </cell>
          <cell r="CQ275">
            <v>0</v>
          </cell>
        </row>
        <row r="276">
          <cell r="CK276" t="str">
            <v>Westfir</v>
          </cell>
          <cell r="CQ276">
            <v>0</v>
          </cell>
        </row>
        <row r="277">
          <cell r="CK277" t="str">
            <v>Weston</v>
          </cell>
          <cell r="CQ277">
            <v>0</v>
          </cell>
        </row>
        <row r="278">
          <cell r="CK278" t="str">
            <v>Wheeler</v>
          </cell>
          <cell r="CQ278">
            <v>0</v>
          </cell>
        </row>
        <row r="279">
          <cell r="CK279" t="str">
            <v>Willamina</v>
          </cell>
          <cell r="CQ279">
            <v>0</v>
          </cell>
        </row>
        <row r="280">
          <cell r="CK280" t="str">
            <v>Wilsonville</v>
          </cell>
          <cell r="CQ280">
            <v>0</v>
          </cell>
        </row>
        <row r="281">
          <cell r="CK281" t="str">
            <v>Winston</v>
          </cell>
          <cell r="CQ281">
            <v>0</v>
          </cell>
        </row>
        <row r="282">
          <cell r="CK282" t="str">
            <v>Wood Village</v>
          </cell>
          <cell r="CQ282">
            <v>0</v>
          </cell>
        </row>
        <row r="283">
          <cell r="CK283" t="str">
            <v>Woodburn</v>
          </cell>
          <cell r="CQ283">
            <v>0</v>
          </cell>
        </row>
        <row r="284">
          <cell r="CK284" t="str">
            <v>Yachats</v>
          </cell>
          <cell r="CQ284">
            <v>0</v>
          </cell>
        </row>
        <row r="285">
          <cell r="CK285" t="str">
            <v>Yamhill</v>
          </cell>
          <cell r="CQ285">
            <v>0</v>
          </cell>
        </row>
        <row r="286">
          <cell r="CK286" t="str">
            <v>Yoncalla</v>
          </cell>
          <cell r="CQ286">
            <v>0</v>
          </cell>
        </row>
      </sheetData>
      <sheetData sheetId="23">
        <row r="5">
          <cell r="CD5" t="str">
            <v>City by County</v>
          </cell>
          <cell r="CE5" t="str">
            <v>Previously Certified Population1</v>
          </cell>
          <cell r="CF5" t="str">
            <v>Annexation Ordinance/Filing Number</v>
          </cell>
          <cell r="CG5" t="str">
            <v>File Date of Annexation</v>
          </cell>
          <cell r="CH5" t="str">
            <v>HOUSING UNITS2 Annexed, Recorded Apr. 1-Jun. 30, 2017</v>
          </cell>
          <cell r="CI5" t="str">
            <v>POPULATION Annexed, Recorded Apr. 1-Jun. 30, 2017</v>
          </cell>
          <cell r="CJ5" t="str">
            <v>Certified Population on Jun. 30, 20173</v>
          </cell>
        </row>
        <row r="6">
          <cell r="CD6" t="str">
            <v>Clackamas County</v>
          </cell>
        </row>
        <row r="7">
          <cell r="CD7" t="str">
            <v>Happy Valley</v>
          </cell>
          <cell r="CE7">
            <v>18822</v>
          </cell>
          <cell r="CF7" t="str">
            <v>#506/AN2016-0109</v>
          </cell>
          <cell r="CG7">
            <v>42717</v>
          </cell>
          <cell r="CH7">
            <v>2</v>
          </cell>
          <cell r="CI7">
            <v>6</v>
          </cell>
          <cell r="CJ7">
            <v>18828</v>
          </cell>
        </row>
        <row r="8">
          <cell r="CD8" t="str">
            <v>Lake Oswego</v>
          </cell>
          <cell r="CE8">
            <v>37428</v>
          </cell>
          <cell r="CF8" t="str">
            <v xml:space="preserve">#2728 /AN2017-0026 </v>
          </cell>
          <cell r="CG8">
            <v>42779</v>
          </cell>
          <cell r="CH8">
            <v>1</v>
          </cell>
          <cell r="CI8">
            <v>0</v>
          </cell>
          <cell r="CJ8">
            <v>37430</v>
          </cell>
        </row>
        <row r="9">
          <cell r="CF9" t="str">
            <v xml:space="preserve">#2729 /AN2017-0027 </v>
          </cell>
          <cell r="CG9">
            <v>42779</v>
          </cell>
          <cell r="CH9">
            <v>1</v>
          </cell>
          <cell r="CI9">
            <v>2</v>
          </cell>
        </row>
        <row r="10">
          <cell r="CF10" t="str">
            <v xml:space="preserve">#2730 /AN2017-0028 </v>
          </cell>
          <cell r="CG10">
            <v>42779</v>
          </cell>
          <cell r="CH10">
            <v>1</v>
          </cell>
          <cell r="CI10">
            <v>0</v>
          </cell>
        </row>
        <row r="11">
          <cell r="CF11" t="str">
            <v xml:space="preserve">#2731 /AN2017-0029 </v>
          </cell>
          <cell r="CG11">
            <v>42779</v>
          </cell>
          <cell r="CH11">
            <v>1</v>
          </cell>
          <cell r="CI11">
            <v>0</v>
          </cell>
        </row>
        <row r="12">
          <cell r="CD12" t="str">
            <v>Lake Oswego SUM</v>
          </cell>
          <cell r="CH12">
            <v>4</v>
          </cell>
          <cell r="CI12">
            <v>2</v>
          </cell>
        </row>
        <row r="13">
          <cell r="CD13" t="str">
            <v>West Linn</v>
          </cell>
          <cell r="CE13">
            <v>25615</v>
          </cell>
          <cell r="CF13" t="str">
            <v xml:space="preserve">#1657 /AN2017-0041 </v>
          </cell>
          <cell r="CG13">
            <v>42825</v>
          </cell>
          <cell r="CH13">
            <v>1</v>
          </cell>
          <cell r="CI13">
            <v>2</v>
          </cell>
          <cell r="CJ13">
            <v>25617</v>
          </cell>
        </row>
        <row r="14">
          <cell r="CD14" t="str">
            <v>Columbia County</v>
          </cell>
        </row>
        <row r="15">
          <cell r="CD15" t="str">
            <v>St. Helens</v>
          </cell>
          <cell r="CE15">
            <v>13121</v>
          </cell>
          <cell r="CF15" t="str">
            <v xml:space="preserve">#3216 /AN2017-0052 </v>
          </cell>
          <cell r="CG15">
            <v>42881</v>
          </cell>
          <cell r="CH15">
            <v>0</v>
          </cell>
          <cell r="CI15">
            <v>0</v>
          </cell>
          <cell r="CJ15">
            <v>13121</v>
          </cell>
        </row>
        <row r="16">
          <cell r="CD16" t="str">
            <v>Crook County</v>
          </cell>
        </row>
        <row r="17">
          <cell r="CD17" t="str">
            <v>Prineville</v>
          </cell>
          <cell r="CE17">
            <v>9645</v>
          </cell>
          <cell r="CF17" t="str">
            <v xml:space="preserve">#RES 1312 /AN 2017-0044 </v>
          </cell>
          <cell r="CG17">
            <v>42843</v>
          </cell>
          <cell r="CH17">
            <v>0</v>
          </cell>
          <cell r="CI17">
            <v>0</v>
          </cell>
          <cell r="CJ17">
            <v>9645</v>
          </cell>
        </row>
        <row r="18">
          <cell r="CD18" t="str">
            <v>Deschutes County</v>
          </cell>
        </row>
        <row r="19">
          <cell r="CD19" t="str">
            <v>Redmond</v>
          </cell>
          <cell r="CE19">
            <v>27595</v>
          </cell>
          <cell r="CF19" t="str">
            <v xml:space="preserve">#RES 2017-05 /AN2017-0042 </v>
          </cell>
          <cell r="CG19">
            <v>42832</v>
          </cell>
          <cell r="CH19">
            <v>1</v>
          </cell>
          <cell r="CI19">
            <v>0</v>
          </cell>
          <cell r="CJ19">
            <v>27595</v>
          </cell>
        </row>
        <row r="20">
          <cell r="CD20" t="str">
            <v>Lane County</v>
          </cell>
        </row>
        <row r="21">
          <cell r="CD21" t="str">
            <v>Springfield</v>
          </cell>
          <cell r="CE21">
            <v>60420</v>
          </cell>
          <cell r="CF21" t="str">
            <v xml:space="preserve">#6366 /AN2017-0053 </v>
          </cell>
          <cell r="CG21">
            <v>42881</v>
          </cell>
          <cell r="CH21">
            <v>1</v>
          </cell>
          <cell r="CI21">
            <v>1</v>
          </cell>
          <cell r="CJ21">
            <v>60421</v>
          </cell>
        </row>
        <row r="22">
          <cell r="CD22" t="str">
            <v>Marion County</v>
          </cell>
        </row>
        <row r="23">
          <cell r="CD23" t="str">
            <v>Hubbard</v>
          </cell>
          <cell r="CE23">
            <v>3225</v>
          </cell>
          <cell r="CF23" t="str">
            <v xml:space="preserve">#ORD 354-2017 /AN2017-0045 </v>
          </cell>
          <cell r="CG23">
            <v>42843</v>
          </cell>
          <cell r="CH23">
            <v>0</v>
          </cell>
          <cell r="CI23">
            <v>0</v>
          </cell>
          <cell r="CJ23">
            <v>3225</v>
          </cell>
        </row>
        <row r="24">
          <cell r="CD24" t="str">
            <v>Washington County</v>
          </cell>
        </row>
        <row r="25">
          <cell r="CD25" t="str">
            <v>Beaverton</v>
          </cell>
          <cell r="CE25">
            <v>95385</v>
          </cell>
          <cell r="CF25" t="str">
            <v xml:space="preserve">#4703 /AN2017-0037 </v>
          </cell>
          <cell r="CG25">
            <v>42822</v>
          </cell>
          <cell r="CH25">
            <v>0</v>
          </cell>
          <cell r="CI25">
            <v>0</v>
          </cell>
          <cell r="CJ25">
            <v>95385</v>
          </cell>
        </row>
        <row r="26">
          <cell r="CD26" t="str">
            <v>City by County</v>
          </cell>
          <cell r="CE26" t="str">
            <v>Previously Certified Population1</v>
          </cell>
          <cell r="CF26" t="str">
            <v>Annexation Ordinance/Filing Number</v>
          </cell>
          <cell r="CG26" t="str">
            <v>File Date of Annexation</v>
          </cell>
          <cell r="CH26" t="str">
            <v>HOUSING UNITS2 Annexed, Recorded Apr. 1-Jun. 30, 2017</v>
          </cell>
          <cell r="CI26" t="str">
            <v>POPULATION Annexed, Recorded Apr. 1-Jun. 30, 2017</v>
          </cell>
          <cell r="CJ26" t="str">
            <v>Certified Population on Jun. 30, 20173</v>
          </cell>
        </row>
        <row r="27">
          <cell r="CD27" t="str">
            <v>Washington County, con't.</v>
          </cell>
        </row>
        <row r="28">
          <cell r="CD28" t="str">
            <v>Hillsboro</v>
          </cell>
          <cell r="CE28">
            <v>99355</v>
          </cell>
          <cell r="CF28" t="str">
            <v xml:space="preserve">#6165 /AN2016-0052 </v>
          </cell>
          <cell r="CG28">
            <v>42531</v>
          </cell>
          <cell r="CH28">
            <v>0</v>
          </cell>
          <cell r="CI28">
            <v>0</v>
          </cell>
          <cell r="CJ28">
            <v>99364</v>
          </cell>
        </row>
        <row r="29">
          <cell r="CF29" t="str">
            <v xml:space="preserve">#6169 /AN2016-0053 </v>
          </cell>
          <cell r="CG29">
            <v>42531</v>
          </cell>
          <cell r="CH29">
            <v>0</v>
          </cell>
          <cell r="CI29">
            <v>0</v>
          </cell>
        </row>
        <row r="30">
          <cell r="CF30" t="str">
            <v xml:space="preserve">#6167 /AN2016-0056 </v>
          </cell>
          <cell r="CG30">
            <v>42538</v>
          </cell>
          <cell r="CH30">
            <v>1</v>
          </cell>
          <cell r="CI30">
            <v>0</v>
          </cell>
        </row>
        <row r="31">
          <cell r="CD31" t="str">
            <v>net revision**</v>
          </cell>
          <cell r="CF31" t="str">
            <v xml:space="preserve">#6175 /AN2016-0064 </v>
          </cell>
          <cell r="CG31">
            <v>42576</v>
          </cell>
          <cell r="CH31">
            <v>-15</v>
          </cell>
          <cell r="CI31">
            <v>-15</v>
          </cell>
        </row>
        <row r="32">
          <cell r="CF32" t="str">
            <v xml:space="preserve">#6180 /AN 2016-0081 </v>
          </cell>
          <cell r="CG32">
            <v>42632</v>
          </cell>
          <cell r="CH32">
            <v>1</v>
          </cell>
          <cell r="CI32">
            <v>1</v>
          </cell>
        </row>
        <row r="33">
          <cell r="CF33" t="str">
            <v xml:space="preserve">#6190, Metro WA7616 /AN2016-0104 </v>
          </cell>
          <cell r="CG33">
            <v>42710</v>
          </cell>
          <cell r="CH33">
            <v>0</v>
          </cell>
          <cell r="CI33">
            <v>0</v>
          </cell>
        </row>
        <row r="34">
          <cell r="CF34" t="str">
            <v xml:space="preserve">#6186, Metro WA7816 /AN2016-0107 </v>
          </cell>
          <cell r="CG34">
            <v>42716</v>
          </cell>
          <cell r="CH34">
            <v>1</v>
          </cell>
          <cell r="CI34">
            <v>2</v>
          </cell>
        </row>
        <row r="35">
          <cell r="CF35" t="str">
            <v xml:space="preserve">#6197, Metro WA7716 /AN2016-0108 </v>
          </cell>
          <cell r="CG35">
            <v>42716</v>
          </cell>
          <cell r="CH35">
            <v>7</v>
          </cell>
          <cell r="CI35">
            <v>11</v>
          </cell>
        </row>
        <row r="36">
          <cell r="CF36" t="str">
            <v xml:space="preserve">#6201 /AN2017-0023 </v>
          </cell>
          <cell r="CG36">
            <v>42760</v>
          </cell>
          <cell r="CH36">
            <v>1</v>
          </cell>
          <cell r="CI36">
            <v>7</v>
          </cell>
        </row>
        <row r="37">
          <cell r="CF37" t="str">
            <v xml:space="preserve">#6203 /AN2017-0024 </v>
          </cell>
          <cell r="CG37">
            <v>42762</v>
          </cell>
          <cell r="CH37">
            <v>2</v>
          </cell>
          <cell r="CI37">
            <v>3</v>
          </cell>
        </row>
        <row r="38">
          <cell r="CD38" t="str">
            <v>Hillsboro SUM</v>
          </cell>
          <cell r="CH38">
            <v>-2</v>
          </cell>
          <cell r="CI38">
            <v>9</v>
          </cell>
        </row>
        <row r="39">
          <cell r="CD39" t="str">
            <v>North Plains</v>
          </cell>
          <cell r="CE39">
            <v>2015</v>
          </cell>
          <cell r="CF39" t="str">
            <v xml:space="preserve">#442 North /AN2017-0040 </v>
          </cell>
          <cell r="CG39">
            <v>42824</v>
          </cell>
          <cell r="CH39">
            <v>1</v>
          </cell>
          <cell r="CI39">
            <v>1</v>
          </cell>
          <cell r="CJ39">
            <v>2016</v>
          </cell>
        </row>
        <row r="40">
          <cell r="CF40" t="str">
            <v xml:space="preserve">#443 East /AN2017-0039 </v>
          </cell>
          <cell r="CG40">
            <v>42824</v>
          </cell>
          <cell r="CH40">
            <v>0</v>
          </cell>
          <cell r="CI40">
            <v>0</v>
          </cell>
        </row>
        <row r="41">
          <cell r="CD41" t="str">
            <v>North Plains SUM</v>
          </cell>
          <cell r="CH41">
            <v>1</v>
          </cell>
          <cell r="CI41">
            <v>1</v>
          </cell>
        </row>
        <row r="42">
          <cell r="CD42" t="str">
            <v>Yamhill County</v>
          </cell>
        </row>
        <row r="43">
          <cell r="CD43" t="str">
            <v>Sheridan</v>
          </cell>
          <cell r="CE43">
            <v>6115</v>
          </cell>
          <cell r="CF43" t="str">
            <v xml:space="preserve">#2017-04 /AN 2017-0047 </v>
          </cell>
          <cell r="CG43">
            <v>42852</v>
          </cell>
          <cell r="CH43">
            <v>0</v>
          </cell>
          <cell r="CI43">
            <v>0</v>
          </cell>
          <cell r="CJ43">
            <v>6115</v>
          </cell>
        </row>
        <row r="44">
          <cell r="CD44" t="str">
            <v>Adair Village</v>
          </cell>
          <cell r="CJ44">
            <v>0</v>
          </cell>
        </row>
        <row r="45">
          <cell r="CD45" t="str">
            <v>Adams</v>
          </cell>
          <cell r="CJ45">
            <v>0</v>
          </cell>
        </row>
        <row r="46">
          <cell r="CD46" t="str">
            <v>Adrian</v>
          </cell>
          <cell r="CJ46">
            <v>0</v>
          </cell>
        </row>
        <row r="47">
          <cell r="CD47" t="str">
            <v>Albany</v>
          </cell>
          <cell r="CJ47">
            <v>0</v>
          </cell>
        </row>
        <row r="48">
          <cell r="CD48" t="str">
            <v>Amity</v>
          </cell>
          <cell r="CJ48">
            <v>0</v>
          </cell>
        </row>
        <row r="49">
          <cell r="CD49" t="str">
            <v>Antelope</v>
          </cell>
          <cell r="CJ49">
            <v>0</v>
          </cell>
        </row>
        <row r="50">
          <cell r="CD50" t="str">
            <v>Arlington</v>
          </cell>
          <cell r="CJ50">
            <v>0</v>
          </cell>
        </row>
        <row r="51">
          <cell r="CD51" t="str">
            <v>Ashland</v>
          </cell>
          <cell r="CJ51">
            <v>0</v>
          </cell>
        </row>
        <row r="52">
          <cell r="CD52" t="str">
            <v>Astoria</v>
          </cell>
          <cell r="CJ52">
            <v>0</v>
          </cell>
        </row>
        <row r="53">
          <cell r="CD53" t="str">
            <v>Athena</v>
          </cell>
          <cell r="CJ53">
            <v>0</v>
          </cell>
        </row>
        <row r="54">
          <cell r="CD54" t="str">
            <v>Aumsville</v>
          </cell>
          <cell r="CJ54">
            <v>0</v>
          </cell>
        </row>
        <row r="55">
          <cell r="CD55" t="str">
            <v>Aurora</v>
          </cell>
          <cell r="CJ55">
            <v>0</v>
          </cell>
        </row>
        <row r="56">
          <cell r="CD56" t="str">
            <v>Baker City</v>
          </cell>
          <cell r="CJ56">
            <v>0</v>
          </cell>
        </row>
        <row r="57">
          <cell r="CD57" t="str">
            <v>Bandon</v>
          </cell>
          <cell r="CJ57">
            <v>0</v>
          </cell>
        </row>
        <row r="58">
          <cell r="CD58" t="str">
            <v>Banks</v>
          </cell>
          <cell r="CJ58">
            <v>0</v>
          </cell>
        </row>
        <row r="59">
          <cell r="CD59" t="str">
            <v>Barlow</v>
          </cell>
          <cell r="CJ59">
            <v>0</v>
          </cell>
        </row>
        <row r="60">
          <cell r="CD60" t="str">
            <v>Bay City</v>
          </cell>
          <cell r="CJ60">
            <v>0</v>
          </cell>
        </row>
        <row r="61">
          <cell r="CD61" t="str">
            <v>Beaverton</v>
          </cell>
          <cell r="CJ61">
            <v>0</v>
          </cell>
        </row>
        <row r="62">
          <cell r="CD62" t="str">
            <v>Bend</v>
          </cell>
          <cell r="CJ62">
            <v>0</v>
          </cell>
        </row>
        <row r="63">
          <cell r="CD63" t="str">
            <v>Boardman</v>
          </cell>
          <cell r="CJ63">
            <v>0</v>
          </cell>
        </row>
        <row r="64">
          <cell r="CD64" t="str">
            <v>Bonanza</v>
          </cell>
          <cell r="CJ64">
            <v>0</v>
          </cell>
        </row>
        <row r="65">
          <cell r="CD65" t="str">
            <v>Brookings</v>
          </cell>
          <cell r="CJ65">
            <v>0</v>
          </cell>
        </row>
        <row r="66">
          <cell r="CD66" t="str">
            <v>Brownsville</v>
          </cell>
          <cell r="CJ66">
            <v>0</v>
          </cell>
        </row>
        <row r="67">
          <cell r="CD67" t="str">
            <v>Burns</v>
          </cell>
          <cell r="CJ67">
            <v>0</v>
          </cell>
        </row>
        <row r="68">
          <cell r="CD68" t="str">
            <v>Butte Falls</v>
          </cell>
          <cell r="CJ68">
            <v>0</v>
          </cell>
        </row>
        <row r="69">
          <cell r="CD69" t="str">
            <v>Canby</v>
          </cell>
          <cell r="CJ69">
            <v>0</v>
          </cell>
        </row>
        <row r="70">
          <cell r="CD70" t="str">
            <v>Cannon Beach</v>
          </cell>
          <cell r="CJ70">
            <v>0</v>
          </cell>
        </row>
        <row r="71">
          <cell r="CD71" t="str">
            <v>Canyon City</v>
          </cell>
          <cell r="CJ71">
            <v>0</v>
          </cell>
        </row>
        <row r="72">
          <cell r="CD72" t="str">
            <v>Canyonville</v>
          </cell>
          <cell r="CJ72">
            <v>0</v>
          </cell>
        </row>
        <row r="73">
          <cell r="CD73" t="str">
            <v>Carlton</v>
          </cell>
          <cell r="CJ73">
            <v>0</v>
          </cell>
        </row>
        <row r="74">
          <cell r="CD74" t="str">
            <v>Cascade Locks</v>
          </cell>
          <cell r="CJ74">
            <v>0</v>
          </cell>
        </row>
        <row r="75">
          <cell r="CD75" t="str">
            <v>Cave Junction</v>
          </cell>
          <cell r="CJ75">
            <v>0</v>
          </cell>
        </row>
        <row r="76">
          <cell r="CD76" t="str">
            <v>Central Point</v>
          </cell>
          <cell r="CJ76">
            <v>0</v>
          </cell>
        </row>
        <row r="77">
          <cell r="CD77" t="str">
            <v>Chiloquin</v>
          </cell>
          <cell r="CJ77">
            <v>0</v>
          </cell>
        </row>
        <row r="78">
          <cell r="CD78" t="str">
            <v>Clatskanie</v>
          </cell>
          <cell r="CJ78">
            <v>0</v>
          </cell>
        </row>
        <row r="79">
          <cell r="CD79" t="str">
            <v>Coburg</v>
          </cell>
          <cell r="CJ79">
            <v>0</v>
          </cell>
        </row>
        <row r="80">
          <cell r="CD80" t="str">
            <v>Columbia City</v>
          </cell>
          <cell r="CJ80">
            <v>0</v>
          </cell>
        </row>
        <row r="81">
          <cell r="CD81" t="str">
            <v>Condon</v>
          </cell>
          <cell r="CJ81">
            <v>0</v>
          </cell>
        </row>
        <row r="82">
          <cell r="CD82" t="str">
            <v>Coos Bay</v>
          </cell>
          <cell r="CJ82">
            <v>0</v>
          </cell>
        </row>
        <row r="83">
          <cell r="CD83" t="str">
            <v>Coquille</v>
          </cell>
          <cell r="CJ83">
            <v>0</v>
          </cell>
        </row>
        <row r="84">
          <cell r="CD84" t="str">
            <v>Cornelius</v>
          </cell>
          <cell r="CJ84">
            <v>0</v>
          </cell>
        </row>
        <row r="85">
          <cell r="CD85" t="str">
            <v>Corvallis</v>
          </cell>
          <cell r="CJ85">
            <v>0</v>
          </cell>
        </row>
        <row r="86">
          <cell r="CD86" t="str">
            <v>Cottage Grove</v>
          </cell>
          <cell r="CJ86">
            <v>0</v>
          </cell>
        </row>
        <row r="87">
          <cell r="CD87" t="str">
            <v>Cove</v>
          </cell>
          <cell r="CJ87">
            <v>0</v>
          </cell>
        </row>
        <row r="88">
          <cell r="CD88" t="str">
            <v>Creswell</v>
          </cell>
          <cell r="CJ88">
            <v>0</v>
          </cell>
        </row>
        <row r="89">
          <cell r="CD89" t="str">
            <v>Culver</v>
          </cell>
          <cell r="CJ89">
            <v>0</v>
          </cell>
        </row>
        <row r="90">
          <cell r="CD90" t="str">
            <v>Dallas</v>
          </cell>
          <cell r="CJ90">
            <v>0</v>
          </cell>
        </row>
        <row r="91">
          <cell r="CD91" t="str">
            <v>Damascus</v>
          </cell>
          <cell r="CJ91">
            <v>0</v>
          </cell>
        </row>
        <row r="92">
          <cell r="CD92" t="str">
            <v>Dayton</v>
          </cell>
          <cell r="CJ92">
            <v>0</v>
          </cell>
        </row>
        <row r="93">
          <cell r="CD93" t="str">
            <v>Dayville</v>
          </cell>
          <cell r="CJ93">
            <v>0</v>
          </cell>
        </row>
        <row r="94">
          <cell r="CD94" t="str">
            <v>Depoe Bay</v>
          </cell>
          <cell r="CJ94">
            <v>0</v>
          </cell>
        </row>
        <row r="95">
          <cell r="CD95" t="str">
            <v>Detroit</v>
          </cell>
          <cell r="CJ95">
            <v>0</v>
          </cell>
        </row>
        <row r="96">
          <cell r="CD96" t="str">
            <v>Donald</v>
          </cell>
          <cell r="CJ96">
            <v>0</v>
          </cell>
        </row>
        <row r="97">
          <cell r="CD97" t="str">
            <v>Drain</v>
          </cell>
          <cell r="CJ97">
            <v>0</v>
          </cell>
        </row>
        <row r="98">
          <cell r="CD98" t="str">
            <v>Dufur</v>
          </cell>
          <cell r="CJ98">
            <v>0</v>
          </cell>
        </row>
        <row r="99">
          <cell r="CD99" t="str">
            <v>Dundee</v>
          </cell>
          <cell r="CJ99">
            <v>0</v>
          </cell>
        </row>
        <row r="100">
          <cell r="CD100" t="str">
            <v>Dunes City</v>
          </cell>
          <cell r="CJ100">
            <v>0</v>
          </cell>
        </row>
        <row r="101">
          <cell r="CD101" t="str">
            <v>Durham</v>
          </cell>
          <cell r="CJ101">
            <v>0</v>
          </cell>
        </row>
        <row r="102">
          <cell r="CD102" t="str">
            <v>Eagle Point</v>
          </cell>
          <cell r="CJ102">
            <v>0</v>
          </cell>
        </row>
        <row r="103">
          <cell r="CD103" t="str">
            <v>Echo</v>
          </cell>
          <cell r="CJ103">
            <v>0</v>
          </cell>
        </row>
        <row r="104">
          <cell r="CD104" t="str">
            <v>Elgin</v>
          </cell>
          <cell r="CJ104">
            <v>0</v>
          </cell>
        </row>
        <row r="105">
          <cell r="CD105" t="str">
            <v>Elkton</v>
          </cell>
          <cell r="CJ105">
            <v>0</v>
          </cell>
        </row>
        <row r="106">
          <cell r="CD106" t="str">
            <v>Enterprise</v>
          </cell>
          <cell r="CJ106">
            <v>0</v>
          </cell>
        </row>
        <row r="107">
          <cell r="CD107" t="str">
            <v>Estacada</v>
          </cell>
          <cell r="CJ107">
            <v>0</v>
          </cell>
        </row>
        <row r="108">
          <cell r="CD108" t="str">
            <v>Eugene</v>
          </cell>
          <cell r="CJ108">
            <v>0</v>
          </cell>
        </row>
        <row r="109">
          <cell r="CD109" t="str">
            <v>Fairview</v>
          </cell>
          <cell r="CJ109">
            <v>0</v>
          </cell>
        </row>
        <row r="110">
          <cell r="CD110" t="str">
            <v>Falls City</v>
          </cell>
          <cell r="CJ110">
            <v>0</v>
          </cell>
        </row>
        <row r="111">
          <cell r="CD111" t="str">
            <v>Florence</v>
          </cell>
          <cell r="CJ111">
            <v>0</v>
          </cell>
        </row>
        <row r="112">
          <cell r="CD112" t="str">
            <v>Forest Grove</v>
          </cell>
          <cell r="CJ112">
            <v>0</v>
          </cell>
        </row>
        <row r="113">
          <cell r="CD113" t="str">
            <v>Fossil</v>
          </cell>
          <cell r="CJ113">
            <v>0</v>
          </cell>
        </row>
        <row r="114">
          <cell r="CD114" t="str">
            <v>Garibaldi</v>
          </cell>
          <cell r="CJ114">
            <v>0</v>
          </cell>
        </row>
        <row r="115">
          <cell r="CD115" t="str">
            <v>Gaston</v>
          </cell>
          <cell r="CJ115">
            <v>0</v>
          </cell>
        </row>
        <row r="116">
          <cell r="CD116" t="str">
            <v>Gates</v>
          </cell>
          <cell r="CJ116">
            <v>0</v>
          </cell>
        </row>
        <row r="117">
          <cell r="CD117" t="str">
            <v>Gearhart</v>
          </cell>
          <cell r="CJ117">
            <v>0</v>
          </cell>
        </row>
        <row r="118">
          <cell r="CD118" t="str">
            <v>Gervais</v>
          </cell>
          <cell r="CJ118">
            <v>0</v>
          </cell>
        </row>
        <row r="119">
          <cell r="CD119" t="str">
            <v>Gladstone</v>
          </cell>
          <cell r="CJ119">
            <v>0</v>
          </cell>
        </row>
        <row r="120">
          <cell r="CD120" t="str">
            <v>Glendale</v>
          </cell>
          <cell r="CJ120">
            <v>0</v>
          </cell>
        </row>
        <row r="121">
          <cell r="CD121" t="str">
            <v>Gold Beach</v>
          </cell>
          <cell r="CJ121">
            <v>0</v>
          </cell>
        </row>
        <row r="122">
          <cell r="CD122" t="str">
            <v>Gold Hill</v>
          </cell>
          <cell r="CJ122">
            <v>0</v>
          </cell>
        </row>
        <row r="123">
          <cell r="CD123" t="str">
            <v>Granite</v>
          </cell>
          <cell r="CJ123">
            <v>0</v>
          </cell>
        </row>
        <row r="124">
          <cell r="CD124" t="str">
            <v>Grants Pass</v>
          </cell>
          <cell r="CJ124">
            <v>0</v>
          </cell>
        </row>
        <row r="125">
          <cell r="CD125" t="str">
            <v>Grass Valley</v>
          </cell>
          <cell r="CJ125">
            <v>0</v>
          </cell>
        </row>
        <row r="126">
          <cell r="CD126" t="str">
            <v>Greenhorn</v>
          </cell>
          <cell r="CJ126">
            <v>0</v>
          </cell>
        </row>
        <row r="127">
          <cell r="CD127" t="str">
            <v>Gresham</v>
          </cell>
          <cell r="CJ127">
            <v>0</v>
          </cell>
        </row>
        <row r="128">
          <cell r="CD128" t="str">
            <v>Haines</v>
          </cell>
          <cell r="CJ128">
            <v>0</v>
          </cell>
        </row>
        <row r="129">
          <cell r="CD129" t="str">
            <v>Halfway</v>
          </cell>
          <cell r="CJ129">
            <v>0</v>
          </cell>
        </row>
        <row r="130">
          <cell r="CD130" t="str">
            <v>Halsey</v>
          </cell>
          <cell r="CJ130">
            <v>0</v>
          </cell>
        </row>
        <row r="131">
          <cell r="CD131" t="str">
            <v>Happy Valley</v>
          </cell>
          <cell r="CJ131">
            <v>0</v>
          </cell>
        </row>
        <row r="132">
          <cell r="CD132" t="str">
            <v>Harrisburg</v>
          </cell>
          <cell r="CJ132">
            <v>0</v>
          </cell>
        </row>
        <row r="133">
          <cell r="CD133" t="str">
            <v>Helix</v>
          </cell>
          <cell r="CJ133">
            <v>0</v>
          </cell>
        </row>
        <row r="134">
          <cell r="CD134" t="str">
            <v>Heppner</v>
          </cell>
          <cell r="CJ134">
            <v>0</v>
          </cell>
        </row>
        <row r="135">
          <cell r="CD135" t="str">
            <v>Hermiston</v>
          </cell>
          <cell r="CJ135">
            <v>0</v>
          </cell>
        </row>
        <row r="136">
          <cell r="CD136" t="str">
            <v>Hillsboro</v>
          </cell>
          <cell r="CJ136">
            <v>0</v>
          </cell>
        </row>
        <row r="137">
          <cell r="CD137" t="str">
            <v>Hines</v>
          </cell>
          <cell r="CJ137">
            <v>0</v>
          </cell>
        </row>
        <row r="138">
          <cell r="CD138" t="str">
            <v>Hood River</v>
          </cell>
          <cell r="CJ138">
            <v>0</v>
          </cell>
        </row>
        <row r="139">
          <cell r="CD139" t="str">
            <v>Hubbard</v>
          </cell>
          <cell r="CJ139">
            <v>0</v>
          </cell>
        </row>
        <row r="140">
          <cell r="CD140" t="str">
            <v>Huntington</v>
          </cell>
          <cell r="CJ140">
            <v>0</v>
          </cell>
        </row>
        <row r="141">
          <cell r="CD141" t="str">
            <v>Idanha</v>
          </cell>
          <cell r="CJ141">
            <v>0</v>
          </cell>
        </row>
        <row r="142">
          <cell r="CD142" t="str">
            <v>Imbler</v>
          </cell>
          <cell r="CJ142">
            <v>0</v>
          </cell>
        </row>
        <row r="143">
          <cell r="CD143" t="str">
            <v>Independence</v>
          </cell>
          <cell r="CJ143">
            <v>0</v>
          </cell>
        </row>
        <row r="144">
          <cell r="CD144" t="str">
            <v>Ione</v>
          </cell>
          <cell r="CJ144">
            <v>0</v>
          </cell>
        </row>
        <row r="145">
          <cell r="CD145" t="str">
            <v>Irrigon</v>
          </cell>
          <cell r="CJ145">
            <v>0</v>
          </cell>
        </row>
        <row r="146">
          <cell r="CD146" t="str">
            <v>Island City</v>
          </cell>
          <cell r="CJ146">
            <v>0</v>
          </cell>
        </row>
        <row r="147">
          <cell r="CD147" t="str">
            <v>Jacksonville</v>
          </cell>
          <cell r="CJ147">
            <v>0</v>
          </cell>
        </row>
        <row r="148">
          <cell r="CD148" t="str">
            <v>Jefferson</v>
          </cell>
          <cell r="CJ148">
            <v>0</v>
          </cell>
        </row>
        <row r="149">
          <cell r="CD149" t="str">
            <v>John Day</v>
          </cell>
          <cell r="CJ149">
            <v>0</v>
          </cell>
        </row>
        <row r="150">
          <cell r="CD150" t="str">
            <v>Johnson City</v>
          </cell>
          <cell r="CJ150">
            <v>0</v>
          </cell>
        </row>
        <row r="151">
          <cell r="CD151" t="str">
            <v>Jordan Valley</v>
          </cell>
          <cell r="CJ151">
            <v>0</v>
          </cell>
        </row>
        <row r="152">
          <cell r="CD152" t="str">
            <v>Joseph</v>
          </cell>
          <cell r="CJ152">
            <v>0</v>
          </cell>
        </row>
        <row r="153">
          <cell r="CD153" t="str">
            <v>Junction City</v>
          </cell>
          <cell r="CJ153">
            <v>0</v>
          </cell>
        </row>
        <row r="154">
          <cell r="CD154" t="str">
            <v>Keizer</v>
          </cell>
          <cell r="CJ154">
            <v>0</v>
          </cell>
        </row>
        <row r="155">
          <cell r="CD155" t="str">
            <v>King City</v>
          </cell>
          <cell r="CJ155">
            <v>0</v>
          </cell>
        </row>
        <row r="156">
          <cell r="CD156" t="str">
            <v>Klamath Falls</v>
          </cell>
          <cell r="CJ156">
            <v>0</v>
          </cell>
        </row>
        <row r="157">
          <cell r="CD157" t="str">
            <v>La Grande</v>
          </cell>
          <cell r="CJ157">
            <v>0</v>
          </cell>
        </row>
        <row r="158">
          <cell r="CD158" t="str">
            <v>La Pine</v>
          </cell>
          <cell r="CJ158">
            <v>0</v>
          </cell>
        </row>
        <row r="159">
          <cell r="CD159" t="str">
            <v>Lafayette</v>
          </cell>
          <cell r="CJ159">
            <v>0</v>
          </cell>
        </row>
        <row r="160">
          <cell r="CD160" t="str">
            <v>Lake Oswego</v>
          </cell>
          <cell r="CJ160">
            <v>0</v>
          </cell>
        </row>
        <row r="161">
          <cell r="CD161" t="str">
            <v>Lakeside</v>
          </cell>
          <cell r="CJ161">
            <v>0</v>
          </cell>
        </row>
        <row r="162">
          <cell r="CD162" t="str">
            <v>Lakeview</v>
          </cell>
          <cell r="CJ162">
            <v>0</v>
          </cell>
        </row>
        <row r="163">
          <cell r="CD163" t="str">
            <v>Lebanon</v>
          </cell>
          <cell r="CJ163">
            <v>0</v>
          </cell>
        </row>
        <row r="164">
          <cell r="CD164" t="str">
            <v>Lexington</v>
          </cell>
          <cell r="CJ164">
            <v>0</v>
          </cell>
        </row>
        <row r="165">
          <cell r="CD165" t="str">
            <v>Lincoln City</v>
          </cell>
          <cell r="CJ165">
            <v>0</v>
          </cell>
        </row>
        <row r="166">
          <cell r="CD166" t="str">
            <v>Lonerock</v>
          </cell>
          <cell r="CJ166">
            <v>0</v>
          </cell>
        </row>
        <row r="167">
          <cell r="CD167" t="str">
            <v>Long Creek</v>
          </cell>
          <cell r="CJ167">
            <v>0</v>
          </cell>
        </row>
        <row r="168">
          <cell r="CD168" t="str">
            <v>Lostine</v>
          </cell>
          <cell r="CJ168">
            <v>0</v>
          </cell>
        </row>
        <row r="169">
          <cell r="CD169" t="str">
            <v>Lowell</v>
          </cell>
          <cell r="CJ169">
            <v>0</v>
          </cell>
        </row>
        <row r="170">
          <cell r="CD170" t="str">
            <v>Lyons</v>
          </cell>
          <cell r="CJ170">
            <v>0</v>
          </cell>
        </row>
        <row r="171">
          <cell r="CD171" t="str">
            <v>Madras</v>
          </cell>
          <cell r="CJ171">
            <v>0</v>
          </cell>
        </row>
        <row r="172">
          <cell r="CD172" t="str">
            <v>Malin</v>
          </cell>
          <cell r="CJ172">
            <v>0</v>
          </cell>
        </row>
        <row r="173">
          <cell r="CD173" t="str">
            <v>Manzanita</v>
          </cell>
          <cell r="CJ173">
            <v>0</v>
          </cell>
        </row>
        <row r="174">
          <cell r="CD174" t="str">
            <v>Maupin</v>
          </cell>
          <cell r="CJ174">
            <v>0</v>
          </cell>
        </row>
        <row r="175">
          <cell r="CD175" t="str">
            <v>Maywood Park</v>
          </cell>
          <cell r="CJ175">
            <v>0</v>
          </cell>
        </row>
        <row r="176">
          <cell r="CD176" t="str">
            <v>McMinnville</v>
          </cell>
          <cell r="CJ176">
            <v>0</v>
          </cell>
        </row>
        <row r="177">
          <cell r="CD177" t="str">
            <v>Medford</v>
          </cell>
          <cell r="CJ177">
            <v>0</v>
          </cell>
        </row>
        <row r="178">
          <cell r="CD178" t="str">
            <v>Merrill</v>
          </cell>
          <cell r="CJ178">
            <v>0</v>
          </cell>
        </row>
        <row r="179">
          <cell r="CD179" t="str">
            <v>Metolius</v>
          </cell>
          <cell r="CJ179">
            <v>0</v>
          </cell>
        </row>
        <row r="180">
          <cell r="CD180" t="str">
            <v>Mill City</v>
          </cell>
          <cell r="CJ180">
            <v>0</v>
          </cell>
        </row>
        <row r="181">
          <cell r="CD181" t="str">
            <v>Millersburg</v>
          </cell>
          <cell r="CJ181">
            <v>0</v>
          </cell>
        </row>
        <row r="182">
          <cell r="CD182" t="str">
            <v>Milton-Freewater</v>
          </cell>
          <cell r="CJ182">
            <v>0</v>
          </cell>
        </row>
        <row r="183">
          <cell r="CD183" t="str">
            <v>Milwaukie</v>
          </cell>
          <cell r="CJ183">
            <v>0</v>
          </cell>
        </row>
        <row r="184">
          <cell r="CD184" t="str">
            <v>Mitchell</v>
          </cell>
          <cell r="CJ184">
            <v>0</v>
          </cell>
        </row>
        <row r="185">
          <cell r="CD185" t="str">
            <v>Molalla</v>
          </cell>
          <cell r="CJ185">
            <v>0</v>
          </cell>
        </row>
        <row r="186">
          <cell r="CD186" t="str">
            <v>Monmouth</v>
          </cell>
          <cell r="CJ186">
            <v>0</v>
          </cell>
        </row>
        <row r="187">
          <cell r="CD187" t="str">
            <v>Monroe</v>
          </cell>
          <cell r="CJ187">
            <v>0</v>
          </cell>
        </row>
        <row r="188">
          <cell r="CD188" t="str">
            <v>Monument</v>
          </cell>
          <cell r="CJ188">
            <v>0</v>
          </cell>
        </row>
        <row r="189">
          <cell r="CD189" t="str">
            <v>Moro</v>
          </cell>
          <cell r="CJ189">
            <v>0</v>
          </cell>
        </row>
        <row r="190">
          <cell r="CD190" t="str">
            <v>Mosier</v>
          </cell>
          <cell r="CJ190">
            <v>0</v>
          </cell>
        </row>
        <row r="191">
          <cell r="CD191" t="str">
            <v>Mt. Angel</v>
          </cell>
          <cell r="CJ191">
            <v>0</v>
          </cell>
        </row>
        <row r="192">
          <cell r="CD192" t="str">
            <v>Mt. Vernon</v>
          </cell>
          <cell r="CJ192">
            <v>0</v>
          </cell>
        </row>
        <row r="193">
          <cell r="CD193" t="str">
            <v>Myrtle Creek</v>
          </cell>
          <cell r="CJ193">
            <v>0</v>
          </cell>
        </row>
        <row r="194">
          <cell r="CD194" t="str">
            <v>Myrtle Point</v>
          </cell>
          <cell r="CJ194">
            <v>0</v>
          </cell>
        </row>
        <row r="195">
          <cell r="CD195" t="str">
            <v>Nehalem</v>
          </cell>
          <cell r="CJ195">
            <v>0</v>
          </cell>
        </row>
        <row r="196">
          <cell r="CD196" t="str">
            <v>Newberg</v>
          </cell>
          <cell r="CJ196">
            <v>0</v>
          </cell>
        </row>
        <row r="197">
          <cell r="CD197" t="str">
            <v>Newport</v>
          </cell>
          <cell r="CJ197">
            <v>0</v>
          </cell>
        </row>
        <row r="198">
          <cell r="CD198" t="str">
            <v>North Bend</v>
          </cell>
          <cell r="CJ198">
            <v>0</v>
          </cell>
        </row>
        <row r="199">
          <cell r="CD199" t="str">
            <v>North Plains</v>
          </cell>
          <cell r="CJ199">
            <v>0</v>
          </cell>
        </row>
        <row r="200">
          <cell r="CD200" t="str">
            <v>North Powder</v>
          </cell>
          <cell r="CJ200">
            <v>0</v>
          </cell>
        </row>
        <row r="201">
          <cell r="CD201" t="str">
            <v>Nyssa</v>
          </cell>
          <cell r="CJ201">
            <v>0</v>
          </cell>
        </row>
        <row r="202">
          <cell r="CD202" t="str">
            <v>Oakland</v>
          </cell>
          <cell r="CJ202">
            <v>0</v>
          </cell>
        </row>
        <row r="203">
          <cell r="CD203" t="str">
            <v>Oakridge</v>
          </cell>
          <cell r="CJ203">
            <v>0</v>
          </cell>
        </row>
        <row r="204">
          <cell r="CD204" t="str">
            <v>Ontario</v>
          </cell>
          <cell r="CJ204">
            <v>0</v>
          </cell>
        </row>
        <row r="205">
          <cell r="CD205" t="str">
            <v>Oregon City</v>
          </cell>
          <cell r="CJ205">
            <v>0</v>
          </cell>
        </row>
        <row r="206">
          <cell r="CD206" t="str">
            <v>Paisley</v>
          </cell>
          <cell r="CJ206">
            <v>0</v>
          </cell>
        </row>
        <row r="207">
          <cell r="CD207" t="str">
            <v>Pendleton</v>
          </cell>
          <cell r="CJ207">
            <v>0</v>
          </cell>
        </row>
        <row r="208">
          <cell r="CD208" t="str">
            <v>Philomath</v>
          </cell>
          <cell r="CJ208">
            <v>0</v>
          </cell>
        </row>
        <row r="209">
          <cell r="CD209" t="str">
            <v>Phoenix</v>
          </cell>
          <cell r="CJ209">
            <v>0</v>
          </cell>
        </row>
        <row r="210">
          <cell r="CD210" t="str">
            <v>Pilot Rock</v>
          </cell>
          <cell r="CJ210">
            <v>0</v>
          </cell>
        </row>
        <row r="211">
          <cell r="CD211" t="str">
            <v>Port Orford</v>
          </cell>
          <cell r="CJ211">
            <v>0</v>
          </cell>
        </row>
        <row r="212">
          <cell r="CD212" t="str">
            <v>Portland</v>
          </cell>
          <cell r="CJ212">
            <v>0</v>
          </cell>
        </row>
        <row r="213">
          <cell r="CD213" t="str">
            <v>Powers</v>
          </cell>
          <cell r="CJ213">
            <v>0</v>
          </cell>
        </row>
        <row r="214">
          <cell r="CD214" t="str">
            <v>Prairie City</v>
          </cell>
          <cell r="CJ214">
            <v>0</v>
          </cell>
        </row>
        <row r="215">
          <cell r="CD215" t="str">
            <v>Prescott</v>
          </cell>
          <cell r="CJ215">
            <v>0</v>
          </cell>
        </row>
        <row r="216">
          <cell r="CD216" t="str">
            <v>Prineville</v>
          </cell>
          <cell r="CJ216">
            <v>0</v>
          </cell>
        </row>
        <row r="217">
          <cell r="CD217" t="str">
            <v>Rainier</v>
          </cell>
          <cell r="CJ217">
            <v>0</v>
          </cell>
        </row>
        <row r="218">
          <cell r="CD218" t="str">
            <v>Redmond</v>
          </cell>
          <cell r="CJ218">
            <v>0</v>
          </cell>
        </row>
        <row r="219">
          <cell r="CD219" t="str">
            <v>Reedsport</v>
          </cell>
          <cell r="CJ219">
            <v>0</v>
          </cell>
        </row>
        <row r="220">
          <cell r="CD220" t="str">
            <v>Richland</v>
          </cell>
          <cell r="CJ220">
            <v>0</v>
          </cell>
        </row>
        <row r="221">
          <cell r="CD221" t="str">
            <v>Riddle</v>
          </cell>
          <cell r="CJ221">
            <v>0</v>
          </cell>
        </row>
        <row r="222">
          <cell r="CD222" t="str">
            <v>Rivergrove</v>
          </cell>
          <cell r="CJ222">
            <v>0</v>
          </cell>
        </row>
        <row r="223">
          <cell r="CD223" t="str">
            <v>Rockaway Beach</v>
          </cell>
          <cell r="CJ223">
            <v>0</v>
          </cell>
        </row>
        <row r="224">
          <cell r="CD224" t="str">
            <v>Rogue River</v>
          </cell>
          <cell r="CJ224">
            <v>0</v>
          </cell>
        </row>
        <row r="225">
          <cell r="CD225" t="str">
            <v>Roseburg</v>
          </cell>
          <cell r="CJ225">
            <v>0</v>
          </cell>
        </row>
        <row r="226">
          <cell r="CD226" t="str">
            <v>Rufus</v>
          </cell>
          <cell r="CJ226">
            <v>0</v>
          </cell>
        </row>
        <row r="227">
          <cell r="CD227" t="str">
            <v>Salem</v>
          </cell>
          <cell r="CJ227">
            <v>0</v>
          </cell>
        </row>
        <row r="228">
          <cell r="CD228" t="str">
            <v>Sandy</v>
          </cell>
          <cell r="CJ228">
            <v>0</v>
          </cell>
        </row>
        <row r="229">
          <cell r="CD229" t="str">
            <v>Scappoose</v>
          </cell>
          <cell r="CJ229">
            <v>0</v>
          </cell>
        </row>
        <row r="230">
          <cell r="CD230" t="str">
            <v>Scio</v>
          </cell>
          <cell r="CJ230">
            <v>0</v>
          </cell>
        </row>
        <row r="231">
          <cell r="CD231" t="str">
            <v>Scotts Mills</v>
          </cell>
          <cell r="CJ231">
            <v>0</v>
          </cell>
        </row>
        <row r="232">
          <cell r="CD232" t="str">
            <v>Seaside</v>
          </cell>
          <cell r="CJ232">
            <v>0</v>
          </cell>
        </row>
        <row r="233">
          <cell r="CD233" t="str">
            <v>Seneca</v>
          </cell>
          <cell r="CJ233">
            <v>0</v>
          </cell>
        </row>
        <row r="234">
          <cell r="CD234" t="str">
            <v>Shady Cove</v>
          </cell>
          <cell r="CJ234">
            <v>0</v>
          </cell>
        </row>
        <row r="235">
          <cell r="CD235" t="str">
            <v>Shaniko</v>
          </cell>
          <cell r="CJ235">
            <v>0</v>
          </cell>
        </row>
        <row r="236">
          <cell r="CD236" t="str">
            <v>Sheridan</v>
          </cell>
          <cell r="CJ236">
            <v>0</v>
          </cell>
        </row>
        <row r="237">
          <cell r="CD237" t="str">
            <v>Sherwood</v>
          </cell>
          <cell r="CJ237">
            <v>0</v>
          </cell>
        </row>
        <row r="238">
          <cell r="CD238" t="str">
            <v>Siletz</v>
          </cell>
          <cell r="CJ238">
            <v>0</v>
          </cell>
        </row>
        <row r="239">
          <cell r="CD239" t="str">
            <v>Silverton</v>
          </cell>
          <cell r="CJ239">
            <v>0</v>
          </cell>
        </row>
        <row r="240">
          <cell r="CD240" t="str">
            <v>Sisters</v>
          </cell>
          <cell r="CJ240">
            <v>0</v>
          </cell>
        </row>
        <row r="241">
          <cell r="CD241" t="str">
            <v>Sodaville</v>
          </cell>
          <cell r="CJ241">
            <v>0</v>
          </cell>
        </row>
        <row r="242">
          <cell r="CD242" t="str">
            <v>Spray</v>
          </cell>
          <cell r="CJ242">
            <v>0</v>
          </cell>
        </row>
        <row r="243">
          <cell r="CD243" t="str">
            <v>Springfield</v>
          </cell>
          <cell r="CJ243">
            <v>0</v>
          </cell>
        </row>
        <row r="244">
          <cell r="CD244" t="str">
            <v>St. Helens</v>
          </cell>
          <cell r="CJ244">
            <v>0</v>
          </cell>
        </row>
        <row r="245">
          <cell r="CD245" t="str">
            <v>St. Paul</v>
          </cell>
          <cell r="CJ245">
            <v>0</v>
          </cell>
        </row>
        <row r="246">
          <cell r="CD246" t="str">
            <v>Stanfield</v>
          </cell>
          <cell r="CJ246">
            <v>0</v>
          </cell>
        </row>
        <row r="247">
          <cell r="CD247" t="str">
            <v>Stayton</v>
          </cell>
          <cell r="CJ247">
            <v>0</v>
          </cell>
        </row>
        <row r="248">
          <cell r="CD248" t="str">
            <v>Sublimity</v>
          </cell>
          <cell r="CJ248">
            <v>0</v>
          </cell>
        </row>
        <row r="249">
          <cell r="CD249" t="str">
            <v>Summerville</v>
          </cell>
          <cell r="CJ249">
            <v>0</v>
          </cell>
        </row>
        <row r="250">
          <cell r="CD250" t="str">
            <v>Sumpter</v>
          </cell>
          <cell r="CJ250">
            <v>0</v>
          </cell>
        </row>
        <row r="251">
          <cell r="CD251" t="str">
            <v>Sutherlin</v>
          </cell>
          <cell r="CJ251">
            <v>0</v>
          </cell>
        </row>
        <row r="252">
          <cell r="CD252" t="str">
            <v>Sweet Home</v>
          </cell>
          <cell r="CJ252">
            <v>0</v>
          </cell>
        </row>
        <row r="253">
          <cell r="CD253" t="str">
            <v>Talent</v>
          </cell>
          <cell r="CJ253">
            <v>0</v>
          </cell>
        </row>
        <row r="254">
          <cell r="CD254" t="str">
            <v>Tangent</v>
          </cell>
          <cell r="CJ254">
            <v>0</v>
          </cell>
        </row>
        <row r="255">
          <cell r="CD255" t="str">
            <v>The Dalles</v>
          </cell>
          <cell r="CJ255">
            <v>0</v>
          </cell>
        </row>
        <row r="256">
          <cell r="CD256" t="str">
            <v>Tigard</v>
          </cell>
          <cell r="CJ256">
            <v>0</v>
          </cell>
        </row>
        <row r="257">
          <cell r="CD257" t="str">
            <v>Tillamook</v>
          </cell>
          <cell r="CJ257">
            <v>0</v>
          </cell>
        </row>
        <row r="258">
          <cell r="CD258" t="str">
            <v>Toledo</v>
          </cell>
          <cell r="CJ258">
            <v>0</v>
          </cell>
        </row>
        <row r="259">
          <cell r="CD259" t="str">
            <v>Troutdale</v>
          </cell>
          <cell r="CJ259">
            <v>0</v>
          </cell>
        </row>
        <row r="260">
          <cell r="CD260" t="str">
            <v>Tualatin</v>
          </cell>
          <cell r="CJ260">
            <v>0</v>
          </cell>
        </row>
        <row r="261">
          <cell r="CD261" t="str">
            <v>Turner</v>
          </cell>
          <cell r="CJ261">
            <v>0</v>
          </cell>
        </row>
        <row r="262">
          <cell r="CD262" t="str">
            <v>Ukiah</v>
          </cell>
          <cell r="CJ262">
            <v>0</v>
          </cell>
        </row>
        <row r="263">
          <cell r="CD263" t="str">
            <v>Umatilla</v>
          </cell>
          <cell r="CJ263">
            <v>0</v>
          </cell>
        </row>
        <row r="264">
          <cell r="CD264" t="str">
            <v>Union</v>
          </cell>
          <cell r="CJ264">
            <v>0</v>
          </cell>
        </row>
        <row r="265">
          <cell r="CD265" t="str">
            <v>Unity</v>
          </cell>
          <cell r="CJ265">
            <v>0</v>
          </cell>
        </row>
        <row r="266">
          <cell r="CD266" t="str">
            <v>Vale</v>
          </cell>
          <cell r="CJ266">
            <v>0</v>
          </cell>
        </row>
        <row r="267">
          <cell r="CD267" t="str">
            <v>Veneta</v>
          </cell>
          <cell r="CJ267">
            <v>0</v>
          </cell>
        </row>
        <row r="268">
          <cell r="CD268" t="str">
            <v>Vernonia</v>
          </cell>
          <cell r="CJ268">
            <v>0</v>
          </cell>
        </row>
        <row r="269">
          <cell r="CD269" t="str">
            <v>Waldport</v>
          </cell>
          <cell r="CJ269">
            <v>0</v>
          </cell>
        </row>
        <row r="270">
          <cell r="CD270" t="str">
            <v>Wallowa</v>
          </cell>
          <cell r="CJ270">
            <v>0</v>
          </cell>
        </row>
        <row r="271">
          <cell r="CD271" t="str">
            <v>Warrenton</v>
          </cell>
          <cell r="CJ271">
            <v>0</v>
          </cell>
        </row>
        <row r="272">
          <cell r="CD272" t="str">
            <v>Wasco</v>
          </cell>
          <cell r="CJ272">
            <v>0</v>
          </cell>
        </row>
        <row r="273">
          <cell r="CD273" t="str">
            <v>Waterloo</v>
          </cell>
          <cell r="CJ273">
            <v>0</v>
          </cell>
        </row>
        <row r="274">
          <cell r="CD274" t="str">
            <v>West Linn</v>
          </cell>
          <cell r="CJ274">
            <v>0</v>
          </cell>
        </row>
        <row r="275">
          <cell r="CD275" t="str">
            <v>Westfir</v>
          </cell>
          <cell r="CJ275">
            <v>0</v>
          </cell>
        </row>
        <row r="276">
          <cell r="CD276" t="str">
            <v>Weston</v>
          </cell>
          <cell r="CJ276">
            <v>0</v>
          </cell>
        </row>
        <row r="277">
          <cell r="CD277" t="str">
            <v>Wheeler</v>
          </cell>
          <cell r="CJ277">
            <v>0</v>
          </cell>
        </row>
        <row r="278">
          <cell r="CD278" t="str">
            <v>Willamina</v>
          </cell>
          <cell r="CJ278">
            <v>0</v>
          </cell>
        </row>
        <row r="279">
          <cell r="CD279" t="str">
            <v>Wilsonville</v>
          </cell>
          <cell r="CJ279">
            <v>0</v>
          </cell>
        </row>
        <row r="280">
          <cell r="CD280" t="str">
            <v>Winston</v>
          </cell>
          <cell r="CJ280">
            <v>0</v>
          </cell>
        </row>
        <row r="281">
          <cell r="CD281" t="str">
            <v>Wood Village</v>
          </cell>
          <cell r="CJ281">
            <v>0</v>
          </cell>
        </row>
        <row r="282">
          <cell r="CD282" t="str">
            <v>Woodburn</v>
          </cell>
          <cell r="CJ282">
            <v>0</v>
          </cell>
        </row>
        <row r="283">
          <cell r="CD283" t="str">
            <v>Yachats</v>
          </cell>
          <cell r="CJ283">
            <v>0</v>
          </cell>
        </row>
        <row r="284">
          <cell r="CD284" t="str">
            <v>Yamhill</v>
          </cell>
          <cell r="CJ284">
            <v>0</v>
          </cell>
        </row>
        <row r="285">
          <cell r="CD285" t="str">
            <v>Yoncalla</v>
          </cell>
          <cell r="CJ285">
            <v>0</v>
          </cell>
        </row>
      </sheetData>
      <sheetData sheetId="24"/>
      <sheetData sheetId="25">
        <row r="5">
          <cell r="CB5" t="str">
            <v>City by County</v>
          </cell>
          <cell r="CC5" t="str">
            <v>Previously Certified Population1</v>
          </cell>
          <cell r="CD5" t="str">
            <v>Annexation Ordinance/Filing Number</v>
          </cell>
          <cell r="CE5" t="str">
            <v>File Date of Annexation</v>
          </cell>
          <cell r="CF5" t="str">
            <v>HOUSING UNITS2 Annexed, Recorded Jul. 1-Sept. 30, 2017</v>
          </cell>
          <cell r="CG5" t="str">
            <v>POPULATION Annexed, Recorded Jul. 1-Sept. 30, 2017</v>
          </cell>
          <cell r="CH5" t="str">
            <v>Certified Population on Sept. 30, 20173</v>
          </cell>
        </row>
        <row r="6">
          <cell r="CB6" t="str">
            <v>Clackamas County</v>
          </cell>
        </row>
        <row r="7">
          <cell r="CB7" t="str">
            <v>Lake Oswego</v>
          </cell>
          <cell r="CD7" t="str">
            <v xml:space="preserve">#2737 /AN2017-0060 </v>
          </cell>
          <cell r="CE7">
            <v>42905</v>
          </cell>
          <cell r="CF7">
            <v>1</v>
          </cell>
          <cell r="CG7">
            <v>0</v>
          </cell>
          <cell r="CH7">
            <v>37430</v>
          </cell>
        </row>
        <row r="8">
          <cell r="CB8" t="str">
            <v>Lake Oswego</v>
          </cell>
          <cell r="CC8">
            <v>37430</v>
          </cell>
          <cell r="CD8" t="str">
            <v xml:space="preserve">#2751 Amending 2739 (AN 17-0003) /AN2017-0075 </v>
          </cell>
          <cell r="CE8">
            <v>42949</v>
          </cell>
          <cell r="CF8">
            <v>1</v>
          </cell>
          <cell r="CG8">
            <v>5</v>
          </cell>
        </row>
        <row r="9">
          <cell r="CB9" t="str">
            <v>Lake Oswego</v>
          </cell>
          <cell r="CD9" t="str">
            <v xml:space="preserve">#2747 (AN 17-004) /AN2017-0074 </v>
          </cell>
          <cell r="CE9">
            <v>42949</v>
          </cell>
          <cell r="CF9">
            <v>1</v>
          </cell>
          <cell r="CG9">
            <v>0</v>
          </cell>
        </row>
        <row r="10">
          <cell r="CB10" t="str">
            <v>Lake Oswego SUM</v>
          </cell>
          <cell r="CF10">
            <v>3</v>
          </cell>
          <cell r="CG10">
            <v>5</v>
          </cell>
        </row>
        <row r="11">
          <cell r="CB11" t="str">
            <v>Milwaukie</v>
          </cell>
          <cell r="CC11">
            <v>20519</v>
          </cell>
          <cell r="CD11" t="str">
            <v xml:space="preserve">#2144 /AN2017-0048 </v>
          </cell>
          <cell r="CE11">
            <v>42866</v>
          </cell>
          <cell r="CF11">
            <v>1</v>
          </cell>
          <cell r="CG11">
            <v>2</v>
          </cell>
          <cell r="CH11">
            <v>20521</v>
          </cell>
        </row>
        <row r="12">
          <cell r="CD12" t="str">
            <v xml:space="preserve">#2150-(A-2017-003) /AN2017-0071 </v>
          </cell>
          <cell r="CE12">
            <v>42940</v>
          </cell>
          <cell r="CF12">
            <v>1</v>
          </cell>
          <cell r="CG12">
            <v>0</v>
          </cell>
        </row>
        <row r="13">
          <cell r="CB13" t="str">
            <v>Milwaukie SUM</v>
          </cell>
          <cell r="CF13">
            <v>2</v>
          </cell>
          <cell r="CG13">
            <v>2</v>
          </cell>
        </row>
        <row r="14">
          <cell r="CB14" t="str">
            <v>Columbia County</v>
          </cell>
        </row>
        <row r="15">
          <cell r="CB15" t="str">
            <v>Wilsonville*</v>
          </cell>
          <cell r="CC15">
            <v>23740</v>
          </cell>
          <cell r="CD15" t="str">
            <v xml:space="preserve">#807 (DB-0019) /AN2017-0106 </v>
          </cell>
          <cell r="CE15">
            <v>42992</v>
          </cell>
          <cell r="CF15">
            <v>0</v>
          </cell>
          <cell r="CG15">
            <v>0</v>
          </cell>
        </row>
        <row r="16">
          <cell r="CB16" t="str">
            <v>Crook County</v>
          </cell>
        </row>
        <row r="17">
          <cell r="CB17" t="str">
            <v>Prineville</v>
          </cell>
          <cell r="CC17">
            <v>9645</v>
          </cell>
          <cell r="CD17" t="str">
            <v xml:space="preserve">#1325 /AN2017-0104 </v>
          </cell>
          <cell r="CE17">
            <v>42989</v>
          </cell>
          <cell r="CF17">
            <v>0</v>
          </cell>
          <cell r="CG17">
            <v>0</v>
          </cell>
        </row>
        <row r="18">
          <cell r="CB18" t="str">
            <v>Douglas County</v>
          </cell>
        </row>
        <row r="19">
          <cell r="CB19" t="str">
            <v>Roseburg</v>
          </cell>
          <cell r="CC19">
            <v>22820</v>
          </cell>
          <cell r="CD19" t="str">
            <v xml:space="preserve">#3422 /AN2014-0032 </v>
          </cell>
          <cell r="CE19">
            <v>41711</v>
          </cell>
          <cell r="CF19">
            <v>1</v>
          </cell>
          <cell r="CG19">
            <v>2</v>
          </cell>
          <cell r="CH19">
            <v>23746</v>
          </cell>
        </row>
        <row r="20">
          <cell r="CD20" t="str">
            <v xml:space="preserve">#3423 /AN 2014-0033 </v>
          </cell>
          <cell r="CE20">
            <v>41711</v>
          </cell>
          <cell r="CF20">
            <v>346</v>
          </cell>
          <cell r="CG20">
            <v>726</v>
          </cell>
        </row>
        <row r="21">
          <cell r="CD21" t="str">
            <v xml:space="preserve">#3424 /AN2014-0034 </v>
          </cell>
          <cell r="CE21">
            <v>41711</v>
          </cell>
          <cell r="CF21">
            <v>102</v>
          </cell>
          <cell r="CG21">
            <v>198</v>
          </cell>
        </row>
        <row r="22">
          <cell r="CB22" t="str">
            <v>Roseburg SUM</v>
          </cell>
          <cell r="CF22">
            <v>449</v>
          </cell>
          <cell r="CG22">
            <v>926</v>
          </cell>
        </row>
        <row r="23">
          <cell r="CB23" t="str">
            <v>Jefferson County</v>
          </cell>
        </row>
        <row r="24">
          <cell r="CB24" t="str">
            <v>Madras</v>
          </cell>
          <cell r="CC24">
            <v>6275</v>
          </cell>
          <cell r="CD24" t="str">
            <v xml:space="preserve">#905 /AN2017-0080 </v>
          </cell>
          <cell r="CE24">
            <v>42943</v>
          </cell>
          <cell r="CF24">
            <v>0</v>
          </cell>
          <cell r="CG24">
            <v>0</v>
          </cell>
        </row>
        <row r="25">
          <cell r="CB25" t="str">
            <v>Lane County</v>
          </cell>
        </row>
        <row r="26">
          <cell r="CB26" t="str">
            <v>Cottage Grove</v>
          </cell>
          <cell r="CC26">
            <v>9892</v>
          </cell>
          <cell r="CD26" t="str">
            <v xml:space="preserve">#3083 /AN2017-0103 </v>
          </cell>
          <cell r="CE26">
            <v>42983</v>
          </cell>
          <cell r="CF26">
            <v>1</v>
          </cell>
          <cell r="CG26">
            <v>1</v>
          </cell>
        </row>
        <row r="27">
          <cell r="CB27" t="str">
            <v>Springfield</v>
          </cell>
          <cell r="CC27">
            <v>60421</v>
          </cell>
          <cell r="CD27" t="str">
            <v xml:space="preserve">#6370 (C SP 2017-ANX416-000002) /AN2017-0066 </v>
          </cell>
          <cell r="CE27">
            <v>42922</v>
          </cell>
          <cell r="CF27">
            <v>1</v>
          </cell>
          <cell r="CG27">
            <v>0</v>
          </cell>
        </row>
        <row r="28">
          <cell r="CB28" t="str">
            <v>City by County</v>
          </cell>
          <cell r="CC28" t="str">
            <v>Previously Certified Population1</v>
          </cell>
          <cell r="CD28" t="str">
            <v>Annexation Ordinance/Filing Number</v>
          </cell>
          <cell r="CE28" t="str">
            <v>File Date of Annexation</v>
          </cell>
          <cell r="CF28" t="str">
            <v>HOUSING UNITS2 Annexed, Recorded Jul. 1-Sept. 30, 2017</v>
          </cell>
          <cell r="CG28" t="str">
            <v>POPULATION Annexed, Recorded Jul. 1-Sept. 30, 2017</v>
          </cell>
          <cell r="CH28" t="str">
            <v>Certified Population on Sept. 30, 20173</v>
          </cell>
        </row>
        <row r="29">
          <cell r="CB29" t="str">
            <v>Marion County</v>
          </cell>
        </row>
        <row r="30">
          <cell r="CB30" t="str">
            <v>Salem*</v>
          </cell>
          <cell r="CC30">
            <v>162077</v>
          </cell>
          <cell r="CD30" t="str">
            <v xml:space="preserve">#18-17 /AN2017-0077 </v>
          </cell>
          <cell r="CE30">
            <v>42950</v>
          </cell>
          <cell r="CF30">
            <v>0</v>
          </cell>
          <cell r="CG30">
            <v>0</v>
          </cell>
        </row>
        <row r="31">
          <cell r="CB31" t="str">
            <v>Washington County</v>
          </cell>
        </row>
        <row r="32">
          <cell r="CB32" t="str">
            <v>Beaverton</v>
          </cell>
          <cell r="CC32">
            <v>95385</v>
          </cell>
          <cell r="CD32" t="str">
            <v xml:space="preserve">#4717_(ANX 2017-0002) /AN2017-0098 </v>
          </cell>
          <cell r="CE32">
            <v>42977</v>
          </cell>
          <cell r="CF32">
            <v>0</v>
          </cell>
          <cell r="CG32">
            <v>0</v>
          </cell>
        </row>
        <row r="33">
          <cell r="CB33" t="str">
            <v>Cornelius</v>
          </cell>
          <cell r="CC33">
            <v>11915</v>
          </cell>
          <cell r="CD33" t="str">
            <v xml:space="preserve">#2017-05 /AN2017-0095 </v>
          </cell>
          <cell r="CE33">
            <v>42970</v>
          </cell>
          <cell r="CF33">
            <v>0</v>
          </cell>
          <cell r="CG33">
            <v>0</v>
          </cell>
        </row>
        <row r="34">
          <cell r="CD34" t="str">
            <v xml:space="preserve">#2016-013 (AN-02-16) /AN2017-0102 </v>
          </cell>
          <cell r="CE34">
            <v>42984</v>
          </cell>
          <cell r="CF34">
            <v>1</v>
          </cell>
          <cell r="CG34">
            <v>0</v>
          </cell>
        </row>
        <row r="35">
          <cell r="CB35" t="str">
            <v>Cornelius SUM</v>
          </cell>
          <cell r="CF35">
            <v>1</v>
          </cell>
          <cell r="CG35">
            <v>0</v>
          </cell>
        </row>
        <row r="36">
          <cell r="CB36" t="str">
            <v>Hillsboro</v>
          </cell>
          <cell r="CC36">
            <v>99364</v>
          </cell>
          <cell r="CD36" t="str">
            <v xml:space="preserve">#624 (AN-006-17) /AN2017-0091 </v>
          </cell>
          <cell r="CE36">
            <v>42961</v>
          </cell>
          <cell r="CF36">
            <v>1</v>
          </cell>
          <cell r="CG36">
            <v>2</v>
          </cell>
        </row>
        <row r="37">
          <cell r="CD37" t="str">
            <v xml:space="preserve">#6234 (AN-005-17) /AN2017-0092 </v>
          </cell>
          <cell r="CE37">
            <v>42961</v>
          </cell>
          <cell r="CF37">
            <v>1</v>
          </cell>
          <cell r="CG37">
            <v>1</v>
          </cell>
        </row>
        <row r="38">
          <cell r="CB38" t="str">
            <v>Hillsboro SUM</v>
          </cell>
          <cell r="CF38">
            <v>2</v>
          </cell>
          <cell r="CG38">
            <v>3</v>
          </cell>
        </row>
        <row r="39">
          <cell r="CB39" t="str">
            <v>Tigard</v>
          </cell>
          <cell r="CC39">
            <v>49751</v>
          </cell>
          <cell r="CD39" t="str">
            <v xml:space="preserve">#2017-12 (ZCA2017-00010) Zone 6B /AN2017-0087 </v>
          </cell>
          <cell r="CE39">
            <v>42958</v>
          </cell>
          <cell r="CF39">
            <v>0</v>
          </cell>
          <cell r="CG39">
            <v>0</v>
          </cell>
        </row>
        <row r="40">
          <cell r="CD40" t="str">
            <v xml:space="preserve">#2017-17(ZAC217-00007) Zone 2 /AN2017-010 </v>
          </cell>
          <cell r="CE40">
            <v>43005</v>
          </cell>
          <cell r="CF40">
            <v>1</v>
          </cell>
          <cell r="CG40">
            <v>0</v>
          </cell>
        </row>
        <row r="41">
          <cell r="CB41" t="str">
            <v>Tigard SUM</v>
          </cell>
          <cell r="CF41">
            <v>1</v>
          </cell>
          <cell r="CG41">
            <v>0</v>
          </cell>
        </row>
        <row r="42">
          <cell r="CB42" t="str">
            <v>Yamhill County</v>
          </cell>
        </row>
        <row r="43">
          <cell r="CB43" t="str">
            <v>Amity</v>
          </cell>
          <cell r="CC43">
            <v>1620</v>
          </cell>
          <cell r="CD43" t="str">
            <v xml:space="preserve">#ORD 651 /AN2017-0061 </v>
          </cell>
          <cell r="CE43">
            <v>42906</v>
          </cell>
          <cell r="CF43">
            <v>0</v>
          </cell>
          <cell r="CG43">
            <v>0</v>
          </cell>
          <cell r="CH43">
            <v>1620</v>
          </cell>
        </row>
        <row r="44">
          <cell r="CB44" t="str">
            <v>Sheridan</v>
          </cell>
          <cell r="CC44">
            <v>6115</v>
          </cell>
          <cell r="CD44" t="str">
            <v xml:space="preserve">#2017-07 /AN2017-0073 </v>
          </cell>
          <cell r="CE44">
            <v>42943</v>
          </cell>
          <cell r="CF44">
            <v>0</v>
          </cell>
          <cell r="CG44">
            <v>0</v>
          </cell>
        </row>
        <row r="45">
          <cell r="CB45" t="str">
            <v>Adair Village</v>
          </cell>
          <cell r="CH45">
            <v>0</v>
          </cell>
        </row>
        <row r="46">
          <cell r="CB46" t="str">
            <v>Adams</v>
          </cell>
          <cell r="CH46">
            <v>0</v>
          </cell>
        </row>
        <row r="47">
          <cell r="CB47" t="str">
            <v>Adrian</v>
          </cell>
          <cell r="CH47">
            <v>0</v>
          </cell>
        </row>
        <row r="48">
          <cell r="CB48" t="str">
            <v>Albany</v>
          </cell>
          <cell r="CH48">
            <v>0</v>
          </cell>
        </row>
        <row r="49">
          <cell r="CB49" t="str">
            <v>Amity</v>
          </cell>
          <cell r="CH49">
            <v>0</v>
          </cell>
        </row>
        <row r="50">
          <cell r="CB50" t="str">
            <v>Antelope</v>
          </cell>
          <cell r="CH50">
            <v>0</v>
          </cell>
        </row>
        <row r="51">
          <cell r="CB51" t="str">
            <v>Arlington</v>
          </cell>
          <cell r="CH51">
            <v>0</v>
          </cell>
        </row>
        <row r="52">
          <cell r="CB52" t="str">
            <v>Ashland</v>
          </cell>
          <cell r="CH52">
            <v>0</v>
          </cell>
        </row>
        <row r="53">
          <cell r="CB53" t="str">
            <v>Astoria</v>
          </cell>
          <cell r="CH53">
            <v>0</v>
          </cell>
        </row>
        <row r="54">
          <cell r="CB54" t="str">
            <v>Athena</v>
          </cell>
          <cell r="CH54">
            <v>0</v>
          </cell>
        </row>
        <row r="55">
          <cell r="CB55" t="str">
            <v>Aumsville</v>
          </cell>
          <cell r="CH55">
            <v>0</v>
          </cell>
        </row>
        <row r="56">
          <cell r="CB56" t="str">
            <v>Aurora</v>
          </cell>
          <cell r="CH56">
            <v>0</v>
          </cell>
        </row>
        <row r="57">
          <cell r="CB57" t="str">
            <v>Baker City</v>
          </cell>
          <cell r="CH57">
            <v>0</v>
          </cell>
        </row>
        <row r="58">
          <cell r="CB58" t="str">
            <v>Bandon</v>
          </cell>
          <cell r="CH58">
            <v>0</v>
          </cell>
        </row>
        <row r="59">
          <cell r="CB59" t="str">
            <v>Banks</v>
          </cell>
          <cell r="CH59">
            <v>0</v>
          </cell>
        </row>
        <row r="60">
          <cell r="CB60" t="str">
            <v>Barlow</v>
          </cell>
          <cell r="CH60">
            <v>0</v>
          </cell>
        </row>
        <row r="61">
          <cell r="CB61" t="str">
            <v>Bay City</v>
          </cell>
          <cell r="CH61">
            <v>0</v>
          </cell>
        </row>
        <row r="62">
          <cell r="CB62" t="str">
            <v>Beaverton</v>
          </cell>
          <cell r="CH62">
            <v>0</v>
          </cell>
        </row>
        <row r="63">
          <cell r="CB63" t="str">
            <v>Bend</v>
          </cell>
          <cell r="CH63">
            <v>0</v>
          </cell>
        </row>
        <row r="64">
          <cell r="CB64" t="str">
            <v>Boardman</v>
          </cell>
          <cell r="CH64">
            <v>0</v>
          </cell>
        </row>
        <row r="65">
          <cell r="CB65" t="str">
            <v>Bonanza</v>
          </cell>
          <cell r="CH65">
            <v>0</v>
          </cell>
        </row>
        <row r="66">
          <cell r="CB66" t="str">
            <v>Brookings</v>
          </cell>
          <cell r="CH66">
            <v>0</v>
          </cell>
        </row>
        <row r="67">
          <cell r="CB67" t="str">
            <v>Brownsville</v>
          </cell>
          <cell r="CH67">
            <v>0</v>
          </cell>
        </row>
        <row r="68">
          <cell r="CB68" t="str">
            <v>Burns</v>
          </cell>
          <cell r="CH68">
            <v>0</v>
          </cell>
        </row>
        <row r="69">
          <cell r="CB69" t="str">
            <v>Butte Falls</v>
          </cell>
          <cell r="CH69">
            <v>0</v>
          </cell>
        </row>
        <row r="70">
          <cell r="CB70" t="str">
            <v>Canby</v>
          </cell>
          <cell r="CH70">
            <v>0</v>
          </cell>
        </row>
        <row r="71">
          <cell r="CB71" t="str">
            <v>Cannon Beach</v>
          </cell>
          <cell r="CH71">
            <v>0</v>
          </cell>
        </row>
        <row r="72">
          <cell r="CB72" t="str">
            <v>Canyon City</v>
          </cell>
          <cell r="CH72">
            <v>0</v>
          </cell>
        </row>
        <row r="73">
          <cell r="CB73" t="str">
            <v>Canyonville</v>
          </cell>
          <cell r="CH73">
            <v>0</v>
          </cell>
        </row>
        <row r="74">
          <cell r="CB74" t="str">
            <v>Carlton</v>
          </cell>
          <cell r="CH74">
            <v>0</v>
          </cell>
        </row>
        <row r="75">
          <cell r="CB75" t="str">
            <v>Cascade Locks</v>
          </cell>
          <cell r="CH75">
            <v>0</v>
          </cell>
        </row>
        <row r="76">
          <cell r="CB76" t="str">
            <v>Cave Junction</v>
          </cell>
          <cell r="CH76">
            <v>0</v>
          </cell>
        </row>
        <row r="77">
          <cell r="CB77" t="str">
            <v>Central Point</v>
          </cell>
          <cell r="CH77">
            <v>0</v>
          </cell>
        </row>
        <row r="78">
          <cell r="CB78" t="str">
            <v>Chiloquin</v>
          </cell>
          <cell r="CH78">
            <v>0</v>
          </cell>
        </row>
        <row r="79">
          <cell r="CB79" t="str">
            <v>Clatskanie</v>
          </cell>
          <cell r="CH79">
            <v>0</v>
          </cell>
        </row>
        <row r="80">
          <cell r="CB80" t="str">
            <v>Coburg</v>
          </cell>
          <cell r="CH80">
            <v>0</v>
          </cell>
        </row>
        <row r="81">
          <cell r="CB81" t="str">
            <v>Columbia City</v>
          </cell>
          <cell r="CH81">
            <v>0</v>
          </cell>
        </row>
        <row r="82">
          <cell r="CB82" t="str">
            <v>Condon</v>
          </cell>
          <cell r="CH82">
            <v>0</v>
          </cell>
        </row>
        <row r="83">
          <cell r="CB83" t="str">
            <v>Coos Bay</v>
          </cell>
          <cell r="CH83">
            <v>0</v>
          </cell>
        </row>
        <row r="84">
          <cell r="CB84" t="str">
            <v>Coquille</v>
          </cell>
          <cell r="CH84">
            <v>0</v>
          </cell>
        </row>
        <row r="85">
          <cell r="CB85" t="str">
            <v>Cornelius</v>
          </cell>
          <cell r="CH85">
            <v>0</v>
          </cell>
        </row>
        <row r="86">
          <cell r="CB86" t="str">
            <v>Corvallis</v>
          </cell>
          <cell r="CH86">
            <v>0</v>
          </cell>
        </row>
        <row r="87">
          <cell r="CB87" t="str">
            <v>Cottage Grove</v>
          </cell>
          <cell r="CH87">
            <v>0</v>
          </cell>
        </row>
        <row r="88">
          <cell r="CB88" t="str">
            <v>Cove</v>
          </cell>
          <cell r="CH88">
            <v>0</v>
          </cell>
        </row>
        <row r="89">
          <cell r="CB89" t="str">
            <v>Creswell</v>
          </cell>
          <cell r="CH89">
            <v>0</v>
          </cell>
        </row>
        <row r="90">
          <cell r="CB90" t="str">
            <v>Culver</v>
          </cell>
          <cell r="CH90">
            <v>0</v>
          </cell>
        </row>
        <row r="91">
          <cell r="CB91" t="str">
            <v>Dallas</v>
          </cell>
          <cell r="CH91">
            <v>0</v>
          </cell>
        </row>
        <row r="92">
          <cell r="CB92" t="str">
            <v>Damascus</v>
          </cell>
          <cell r="CH92">
            <v>0</v>
          </cell>
        </row>
        <row r="93">
          <cell r="CB93" t="str">
            <v>Dayton</v>
          </cell>
          <cell r="CH93">
            <v>0</v>
          </cell>
        </row>
        <row r="94">
          <cell r="CB94" t="str">
            <v>Dayville</v>
          </cell>
          <cell r="CH94">
            <v>0</v>
          </cell>
        </row>
        <row r="95">
          <cell r="CB95" t="str">
            <v>Depoe Bay</v>
          </cell>
          <cell r="CH95">
            <v>0</v>
          </cell>
        </row>
        <row r="96">
          <cell r="CB96" t="str">
            <v>Detroit</v>
          </cell>
          <cell r="CH96">
            <v>0</v>
          </cell>
        </row>
        <row r="97">
          <cell r="CB97" t="str">
            <v>Donald</v>
          </cell>
          <cell r="CH97">
            <v>0</v>
          </cell>
        </row>
        <row r="98">
          <cell r="CB98" t="str">
            <v>Drain</v>
          </cell>
          <cell r="CH98">
            <v>0</v>
          </cell>
        </row>
        <row r="99">
          <cell r="CB99" t="str">
            <v>Dufur</v>
          </cell>
          <cell r="CH99">
            <v>0</v>
          </cell>
        </row>
        <row r="100">
          <cell r="CB100" t="str">
            <v>Dundee</v>
          </cell>
          <cell r="CH100">
            <v>0</v>
          </cell>
        </row>
        <row r="101">
          <cell r="CB101" t="str">
            <v>Dunes City</v>
          </cell>
          <cell r="CH101">
            <v>0</v>
          </cell>
        </row>
        <row r="102">
          <cell r="CB102" t="str">
            <v>Durham</v>
          </cell>
          <cell r="CH102">
            <v>0</v>
          </cell>
        </row>
        <row r="103">
          <cell r="CB103" t="str">
            <v>Eagle Point</v>
          </cell>
          <cell r="CH103">
            <v>0</v>
          </cell>
        </row>
        <row r="104">
          <cell r="CB104" t="str">
            <v>Echo</v>
          </cell>
          <cell r="CH104">
            <v>0</v>
          </cell>
        </row>
        <row r="105">
          <cell r="CB105" t="str">
            <v>Elgin</v>
          </cell>
          <cell r="CH105">
            <v>0</v>
          </cell>
        </row>
        <row r="106">
          <cell r="CB106" t="str">
            <v>Elkton</v>
          </cell>
          <cell r="CH106">
            <v>0</v>
          </cell>
        </row>
        <row r="107">
          <cell r="CB107" t="str">
            <v>Enterprise</v>
          </cell>
          <cell r="CH107">
            <v>0</v>
          </cell>
        </row>
        <row r="108">
          <cell r="CB108" t="str">
            <v>Estacada</v>
          </cell>
          <cell r="CH108">
            <v>0</v>
          </cell>
        </row>
        <row r="109">
          <cell r="CB109" t="str">
            <v>Eugene</v>
          </cell>
          <cell r="CH109">
            <v>0</v>
          </cell>
        </row>
        <row r="110">
          <cell r="CB110" t="str">
            <v>Fairview</v>
          </cell>
          <cell r="CH110">
            <v>0</v>
          </cell>
        </row>
        <row r="111">
          <cell r="CB111" t="str">
            <v>Falls City</v>
          </cell>
          <cell r="CH111">
            <v>0</v>
          </cell>
        </row>
        <row r="112">
          <cell r="CB112" t="str">
            <v>Florence</v>
          </cell>
          <cell r="CH112">
            <v>0</v>
          </cell>
        </row>
        <row r="113">
          <cell r="CB113" t="str">
            <v>Forest Grove</v>
          </cell>
          <cell r="CH113">
            <v>0</v>
          </cell>
        </row>
        <row r="114">
          <cell r="CB114" t="str">
            <v>Fossil</v>
          </cell>
          <cell r="CH114">
            <v>0</v>
          </cell>
        </row>
        <row r="115">
          <cell r="CB115" t="str">
            <v>Garibaldi</v>
          </cell>
          <cell r="CH115">
            <v>0</v>
          </cell>
        </row>
        <row r="116">
          <cell r="CB116" t="str">
            <v>Gaston</v>
          </cell>
          <cell r="CH116">
            <v>0</v>
          </cell>
        </row>
        <row r="117">
          <cell r="CB117" t="str">
            <v>Gates</v>
          </cell>
          <cell r="CH117">
            <v>0</v>
          </cell>
        </row>
        <row r="118">
          <cell r="CB118" t="str">
            <v>Gearhart</v>
          </cell>
          <cell r="CH118">
            <v>0</v>
          </cell>
        </row>
        <row r="119">
          <cell r="CB119" t="str">
            <v>Gervais</v>
          </cell>
          <cell r="CH119">
            <v>0</v>
          </cell>
        </row>
        <row r="120">
          <cell r="CB120" t="str">
            <v>Gladstone</v>
          </cell>
          <cell r="CH120">
            <v>0</v>
          </cell>
        </row>
        <row r="121">
          <cell r="CB121" t="str">
            <v>Glendale</v>
          </cell>
          <cell r="CH121">
            <v>0</v>
          </cell>
        </row>
        <row r="122">
          <cell r="CB122" t="str">
            <v>Gold Beach</v>
          </cell>
          <cell r="CH122">
            <v>0</v>
          </cell>
        </row>
        <row r="123">
          <cell r="CB123" t="str">
            <v>Gold Hill</v>
          </cell>
          <cell r="CH123">
            <v>0</v>
          </cell>
        </row>
        <row r="124">
          <cell r="CB124" t="str">
            <v>Granite</v>
          </cell>
          <cell r="CH124">
            <v>0</v>
          </cell>
        </row>
        <row r="125">
          <cell r="CB125" t="str">
            <v>Grants Pass</v>
          </cell>
          <cell r="CH125">
            <v>0</v>
          </cell>
        </row>
        <row r="126">
          <cell r="CB126" t="str">
            <v>Grass Valley</v>
          </cell>
          <cell r="CH126">
            <v>0</v>
          </cell>
        </row>
        <row r="127">
          <cell r="CB127" t="str">
            <v>Greenhorn</v>
          </cell>
          <cell r="CH127">
            <v>0</v>
          </cell>
        </row>
        <row r="128">
          <cell r="CB128" t="str">
            <v>Gresham</v>
          </cell>
          <cell r="CH128">
            <v>0</v>
          </cell>
        </row>
        <row r="129">
          <cell r="CB129" t="str">
            <v>Haines</v>
          </cell>
          <cell r="CH129">
            <v>0</v>
          </cell>
        </row>
        <row r="130">
          <cell r="CB130" t="str">
            <v>Halfway</v>
          </cell>
          <cell r="CH130">
            <v>0</v>
          </cell>
        </row>
        <row r="131">
          <cell r="CB131" t="str">
            <v>Halsey</v>
          </cell>
          <cell r="CH131">
            <v>0</v>
          </cell>
        </row>
        <row r="132">
          <cell r="CB132" t="str">
            <v>Happy Valley</v>
          </cell>
          <cell r="CH132">
            <v>0</v>
          </cell>
        </row>
        <row r="133">
          <cell r="CB133" t="str">
            <v>Harrisburg</v>
          </cell>
          <cell r="CH133">
            <v>0</v>
          </cell>
        </row>
        <row r="134">
          <cell r="CB134" t="str">
            <v>Helix</v>
          </cell>
          <cell r="CH134">
            <v>0</v>
          </cell>
        </row>
        <row r="135">
          <cell r="CB135" t="str">
            <v>Heppner</v>
          </cell>
          <cell r="CH135">
            <v>0</v>
          </cell>
        </row>
        <row r="136">
          <cell r="CB136" t="str">
            <v>Hermiston</v>
          </cell>
          <cell r="CH136">
            <v>0</v>
          </cell>
        </row>
        <row r="137">
          <cell r="CB137" t="str">
            <v>Hillsboro</v>
          </cell>
          <cell r="CH137">
            <v>0</v>
          </cell>
        </row>
        <row r="138">
          <cell r="CB138" t="str">
            <v>Hines</v>
          </cell>
          <cell r="CH138">
            <v>0</v>
          </cell>
        </row>
        <row r="139">
          <cell r="CB139" t="str">
            <v>Hood River</v>
          </cell>
          <cell r="CH139">
            <v>0</v>
          </cell>
        </row>
        <row r="140">
          <cell r="CB140" t="str">
            <v>Hubbard</v>
          </cell>
          <cell r="CH140">
            <v>0</v>
          </cell>
        </row>
        <row r="141">
          <cell r="CB141" t="str">
            <v>Huntington</v>
          </cell>
          <cell r="CH141">
            <v>0</v>
          </cell>
        </row>
        <row r="142">
          <cell r="CB142" t="str">
            <v>Idanha</v>
          </cell>
          <cell r="CH142">
            <v>0</v>
          </cell>
        </row>
        <row r="143">
          <cell r="CB143" t="str">
            <v>Imbler</v>
          </cell>
          <cell r="CH143">
            <v>0</v>
          </cell>
        </row>
        <row r="144">
          <cell r="CB144" t="str">
            <v>Independence</v>
          </cell>
          <cell r="CH144">
            <v>0</v>
          </cell>
        </row>
        <row r="145">
          <cell r="CB145" t="str">
            <v>Ione</v>
          </cell>
          <cell r="CH145">
            <v>0</v>
          </cell>
        </row>
        <row r="146">
          <cell r="CB146" t="str">
            <v>Irrigon</v>
          </cell>
          <cell r="CH146">
            <v>0</v>
          </cell>
        </row>
        <row r="147">
          <cell r="CB147" t="str">
            <v>Island City</v>
          </cell>
          <cell r="CH147">
            <v>0</v>
          </cell>
        </row>
        <row r="148">
          <cell r="CB148" t="str">
            <v>Jacksonville</v>
          </cell>
          <cell r="CH148">
            <v>0</v>
          </cell>
        </row>
        <row r="149">
          <cell r="CB149" t="str">
            <v>Jefferson</v>
          </cell>
          <cell r="CH149">
            <v>0</v>
          </cell>
        </row>
        <row r="150">
          <cell r="CB150" t="str">
            <v>John Day</v>
          </cell>
          <cell r="CH150">
            <v>0</v>
          </cell>
        </row>
        <row r="151">
          <cell r="CB151" t="str">
            <v>Johnson City</v>
          </cell>
          <cell r="CH151">
            <v>0</v>
          </cell>
        </row>
        <row r="152">
          <cell r="CB152" t="str">
            <v>Jordan Valley</v>
          </cell>
          <cell r="CH152">
            <v>0</v>
          </cell>
        </row>
        <row r="153">
          <cell r="CB153" t="str">
            <v>Joseph</v>
          </cell>
          <cell r="CH153">
            <v>0</v>
          </cell>
        </row>
        <row r="154">
          <cell r="CB154" t="str">
            <v>Junction City</v>
          </cell>
          <cell r="CH154">
            <v>0</v>
          </cell>
        </row>
        <row r="155">
          <cell r="CB155" t="str">
            <v>Keizer</v>
          </cell>
          <cell r="CH155">
            <v>0</v>
          </cell>
        </row>
        <row r="156">
          <cell r="CB156" t="str">
            <v>King City</v>
          </cell>
          <cell r="CH156">
            <v>0</v>
          </cell>
        </row>
        <row r="157">
          <cell r="CB157" t="str">
            <v>Klamath Falls</v>
          </cell>
          <cell r="CH157">
            <v>0</v>
          </cell>
        </row>
        <row r="158">
          <cell r="CB158" t="str">
            <v>La Grande</v>
          </cell>
          <cell r="CH158">
            <v>0</v>
          </cell>
        </row>
        <row r="159">
          <cell r="CB159" t="str">
            <v>La Pine</v>
          </cell>
          <cell r="CH159">
            <v>0</v>
          </cell>
        </row>
        <row r="160">
          <cell r="CB160" t="str">
            <v>Lafayette</v>
          </cell>
          <cell r="CH160">
            <v>0</v>
          </cell>
        </row>
        <row r="161">
          <cell r="CB161" t="str">
            <v>Lake Oswego</v>
          </cell>
          <cell r="CH161">
            <v>0</v>
          </cell>
        </row>
        <row r="162">
          <cell r="CB162" t="str">
            <v>Lakeside</v>
          </cell>
          <cell r="CH162">
            <v>0</v>
          </cell>
        </row>
        <row r="163">
          <cell r="CB163" t="str">
            <v>Lakeview</v>
          </cell>
          <cell r="CH163">
            <v>0</v>
          </cell>
        </row>
        <row r="164">
          <cell r="CB164" t="str">
            <v>Lebanon</v>
          </cell>
          <cell r="CH164">
            <v>0</v>
          </cell>
        </row>
        <row r="165">
          <cell r="CB165" t="str">
            <v>Lexington</v>
          </cell>
          <cell r="CH165">
            <v>0</v>
          </cell>
        </row>
        <row r="166">
          <cell r="CB166" t="str">
            <v>Lincoln City</v>
          </cell>
          <cell r="CH166">
            <v>0</v>
          </cell>
        </row>
        <row r="167">
          <cell r="CB167" t="str">
            <v>Lonerock</v>
          </cell>
          <cell r="CH167">
            <v>0</v>
          </cell>
        </row>
        <row r="168">
          <cell r="CB168" t="str">
            <v>Long Creek</v>
          </cell>
          <cell r="CH168">
            <v>0</v>
          </cell>
        </row>
        <row r="169">
          <cell r="CB169" t="str">
            <v>Lostine</v>
          </cell>
          <cell r="CH169">
            <v>0</v>
          </cell>
        </row>
        <row r="170">
          <cell r="CB170" t="str">
            <v>Lowell</v>
          </cell>
          <cell r="CH170">
            <v>0</v>
          </cell>
        </row>
        <row r="171">
          <cell r="CB171" t="str">
            <v>Lyons</v>
          </cell>
          <cell r="CH171">
            <v>0</v>
          </cell>
        </row>
        <row r="172">
          <cell r="CB172" t="str">
            <v>Madras</v>
          </cell>
          <cell r="CH172">
            <v>0</v>
          </cell>
        </row>
        <row r="173">
          <cell r="CB173" t="str">
            <v>Malin</v>
          </cell>
          <cell r="CH173">
            <v>0</v>
          </cell>
        </row>
        <row r="174">
          <cell r="CB174" t="str">
            <v>Manzanita</v>
          </cell>
          <cell r="CH174">
            <v>0</v>
          </cell>
        </row>
        <row r="175">
          <cell r="CB175" t="str">
            <v>Maupin</v>
          </cell>
          <cell r="CH175">
            <v>0</v>
          </cell>
        </row>
        <row r="176">
          <cell r="CB176" t="str">
            <v>Maywood Park</v>
          </cell>
          <cell r="CH176">
            <v>0</v>
          </cell>
        </row>
        <row r="177">
          <cell r="CB177" t="str">
            <v>McMinnville</v>
          </cell>
          <cell r="CH177">
            <v>0</v>
          </cell>
        </row>
        <row r="178">
          <cell r="CB178" t="str">
            <v>Medford</v>
          </cell>
          <cell r="CH178">
            <v>0</v>
          </cell>
        </row>
        <row r="179">
          <cell r="CB179" t="str">
            <v>Merrill</v>
          </cell>
          <cell r="CH179">
            <v>0</v>
          </cell>
        </row>
        <row r="180">
          <cell r="CB180" t="str">
            <v>Metolius</v>
          </cell>
          <cell r="CH180">
            <v>0</v>
          </cell>
        </row>
        <row r="181">
          <cell r="CB181" t="str">
            <v>Mill City</v>
          </cell>
          <cell r="CH181">
            <v>0</v>
          </cell>
        </row>
        <row r="182">
          <cell r="CB182" t="str">
            <v>Millersburg</v>
          </cell>
          <cell r="CH182">
            <v>0</v>
          </cell>
        </row>
        <row r="183">
          <cell r="CB183" t="str">
            <v>Milton-Freewater</v>
          </cell>
          <cell r="CH183">
            <v>0</v>
          </cell>
        </row>
        <row r="184">
          <cell r="CB184" t="str">
            <v>Milwaukie</v>
          </cell>
          <cell r="CH184">
            <v>0</v>
          </cell>
        </row>
        <row r="185">
          <cell r="CB185" t="str">
            <v>Mitchell</v>
          </cell>
          <cell r="CH185">
            <v>0</v>
          </cell>
        </row>
        <row r="186">
          <cell r="CB186" t="str">
            <v>Molalla</v>
          </cell>
          <cell r="CH186">
            <v>0</v>
          </cell>
        </row>
        <row r="187">
          <cell r="CB187" t="str">
            <v>Monmouth</v>
          </cell>
          <cell r="CH187">
            <v>0</v>
          </cell>
        </row>
        <row r="188">
          <cell r="CB188" t="str">
            <v>Monroe</v>
          </cell>
          <cell r="CH188">
            <v>0</v>
          </cell>
        </row>
        <row r="189">
          <cell r="CB189" t="str">
            <v>Monument</v>
          </cell>
          <cell r="CH189">
            <v>0</v>
          </cell>
        </row>
        <row r="190">
          <cell r="CB190" t="str">
            <v>Moro</v>
          </cell>
          <cell r="CH190">
            <v>0</v>
          </cell>
        </row>
        <row r="191">
          <cell r="CB191" t="str">
            <v>Mosier</v>
          </cell>
          <cell r="CH191">
            <v>0</v>
          </cell>
        </row>
        <row r="192">
          <cell r="CB192" t="str">
            <v>Mt. Angel</v>
          </cell>
          <cell r="CH192">
            <v>0</v>
          </cell>
        </row>
        <row r="193">
          <cell r="CB193" t="str">
            <v>Mt. Vernon</v>
          </cell>
          <cell r="CH193">
            <v>0</v>
          </cell>
        </row>
        <row r="194">
          <cell r="CB194" t="str">
            <v>Myrtle Creek</v>
          </cell>
          <cell r="CH194">
            <v>0</v>
          </cell>
        </row>
        <row r="195">
          <cell r="CB195" t="str">
            <v>Myrtle Point</v>
          </cell>
          <cell r="CH195">
            <v>0</v>
          </cell>
        </row>
        <row r="196">
          <cell r="CB196" t="str">
            <v>Nehalem</v>
          </cell>
          <cell r="CH196">
            <v>0</v>
          </cell>
        </row>
        <row r="197">
          <cell r="CB197" t="str">
            <v>Newberg</v>
          </cell>
          <cell r="CH197">
            <v>0</v>
          </cell>
        </row>
        <row r="198">
          <cell r="CB198" t="str">
            <v>Newport</v>
          </cell>
          <cell r="CH198">
            <v>0</v>
          </cell>
        </row>
        <row r="199">
          <cell r="CB199" t="str">
            <v>North Bend</v>
          </cell>
          <cell r="CH199">
            <v>0</v>
          </cell>
        </row>
        <row r="200">
          <cell r="CB200" t="str">
            <v>North Plains</v>
          </cell>
          <cell r="CH200">
            <v>0</v>
          </cell>
        </row>
        <row r="201">
          <cell r="CB201" t="str">
            <v>North Powder</v>
          </cell>
          <cell r="CH201">
            <v>0</v>
          </cell>
        </row>
        <row r="202">
          <cell r="CB202" t="str">
            <v>Nyssa</v>
          </cell>
          <cell r="CH202">
            <v>0</v>
          </cell>
        </row>
        <row r="203">
          <cell r="CB203" t="str">
            <v>Oakland</v>
          </cell>
          <cell r="CH203">
            <v>0</v>
          </cell>
        </row>
        <row r="204">
          <cell r="CB204" t="str">
            <v>Oakridge</v>
          </cell>
          <cell r="CH204">
            <v>0</v>
          </cell>
        </row>
        <row r="205">
          <cell r="CB205" t="str">
            <v>Ontario</v>
          </cell>
          <cell r="CH205">
            <v>0</v>
          </cell>
        </row>
        <row r="206">
          <cell r="CB206" t="str">
            <v>Oregon City</v>
          </cell>
          <cell r="CH206">
            <v>0</v>
          </cell>
        </row>
        <row r="207">
          <cell r="CB207" t="str">
            <v>Paisley</v>
          </cell>
          <cell r="CH207">
            <v>0</v>
          </cell>
        </row>
        <row r="208">
          <cell r="CB208" t="str">
            <v>Pendleton</v>
          </cell>
          <cell r="CH208">
            <v>0</v>
          </cell>
        </row>
        <row r="209">
          <cell r="CB209" t="str">
            <v>Philomath</v>
          </cell>
          <cell r="CH209">
            <v>0</v>
          </cell>
        </row>
        <row r="210">
          <cell r="CB210" t="str">
            <v>Phoenix</v>
          </cell>
          <cell r="CH210">
            <v>0</v>
          </cell>
        </row>
        <row r="211">
          <cell r="CB211" t="str">
            <v>Pilot Rock</v>
          </cell>
          <cell r="CH211">
            <v>0</v>
          </cell>
        </row>
        <row r="212">
          <cell r="CB212" t="str">
            <v>Port Orford</v>
          </cell>
          <cell r="CH212">
            <v>0</v>
          </cell>
        </row>
        <row r="213">
          <cell r="CB213" t="str">
            <v>Portland</v>
          </cell>
          <cell r="CH213">
            <v>0</v>
          </cell>
        </row>
        <row r="214">
          <cell r="CB214" t="str">
            <v>Powers</v>
          </cell>
          <cell r="CH214">
            <v>0</v>
          </cell>
        </row>
        <row r="215">
          <cell r="CB215" t="str">
            <v>Prairie City</v>
          </cell>
          <cell r="CH215">
            <v>0</v>
          </cell>
        </row>
        <row r="216">
          <cell r="CB216" t="str">
            <v>Prescott</v>
          </cell>
          <cell r="CH216">
            <v>0</v>
          </cell>
        </row>
        <row r="217">
          <cell r="CB217" t="str">
            <v>Prineville</v>
          </cell>
          <cell r="CH217">
            <v>0</v>
          </cell>
        </row>
        <row r="218">
          <cell r="CB218" t="str">
            <v>Rainier</v>
          </cell>
          <cell r="CH218">
            <v>0</v>
          </cell>
        </row>
        <row r="219">
          <cell r="CB219" t="str">
            <v>Redmond</v>
          </cell>
          <cell r="CH219">
            <v>0</v>
          </cell>
        </row>
        <row r="220">
          <cell r="CB220" t="str">
            <v>Reedsport</v>
          </cell>
          <cell r="CH220">
            <v>0</v>
          </cell>
        </row>
        <row r="221">
          <cell r="CB221" t="str">
            <v>Richland</v>
          </cell>
          <cell r="CH221">
            <v>0</v>
          </cell>
        </row>
        <row r="222">
          <cell r="CB222" t="str">
            <v>Riddle</v>
          </cell>
          <cell r="CH222">
            <v>0</v>
          </cell>
        </row>
        <row r="223">
          <cell r="CB223" t="str">
            <v>Rivergrove</v>
          </cell>
          <cell r="CH223">
            <v>0</v>
          </cell>
        </row>
        <row r="224">
          <cell r="CB224" t="str">
            <v>Rockaway Beach</v>
          </cell>
          <cell r="CH224">
            <v>0</v>
          </cell>
        </row>
        <row r="225">
          <cell r="CB225" t="str">
            <v>Rogue River</v>
          </cell>
          <cell r="CH225">
            <v>0</v>
          </cell>
        </row>
        <row r="226">
          <cell r="CB226" t="str">
            <v>Roseburg</v>
          </cell>
          <cell r="CH226">
            <v>0</v>
          </cell>
        </row>
        <row r="227">
          <cell r="CB227" t="str">
            <v>Rufus</v>
          </cell>
          <cell r="CH227">
            <v>0</v>
          </cell>
        </row>
        <row r="228">
          <cell r="CB228" t="str">
            <v>Salem</v>
          </cell>
          <cell r="CH228">
            <v>0</v>
          </cell>
        </row>
        <row r="229">
          <cell r="CB229" t="str">
            <v>Sandy</v>
          </cell>
          <cell r="CH229">
            <v>0</v>
          </cell>
        </row>
        <row r="230">
          <cell r="CB230" t="str">
            <v>Scappoose</v>
          </cell>
          <cell r="CH230">
            <v>0</v>
          </cell>
        </row>
        <row r="231">
          <cell r="CB231" t="str">
            <v>Scio</v>
          </cell>
          <cell r="CH231">
            <v>0</v>
          </cell>
        </row>
        <row r="232">
          <cell r="CB232" t="str">
            <v>Scotts Mills</v>
          </cell>
          <cell r="CH232">
            <v>0</v>
          </cell>
        </row>
        <row r="233">
          <cell r="CB233" t="str">
            <v>Seaside</v>
          </cell>
          <cell r="CH233">
            <v>0</v>
          </cell>
        </row>
        <row r="234">
          <cell r="CB234" t="str">
            <v>Seneca</v>
          </cell>
          <cell r="CH234">
            <v>0</v>
          </cell>
        </row>
        <row r="235">
          <cell r="CB235" t="str">
            <v>Shady Cove</v>
          </cell>
          <cell r="CH235">
            <v>0</v>
          </cell>
        </row>
        <row r="236">
          <cell r="CB236" t="str">
            <v>Shaniko</v>
          </cell>
          <cell r="CH236">
            <v>0</v>
          </cell>
        </row>
        <row r="237">
          <cell r="CB237" t="str">
            <v>Sheridan</v>
          </cell>
          <cell r="CH237">
            <v>0</v>
          </cell>
        </row>
        <row r="238">
          <cell r="CB238" t="str">
            <v>Sherwood</v>
          </cell>
          <cell r="CH238">
            <v>0</v>
          </cell>
        </row>
        <row r="239">
          <cell r="CB239" t="str">
            <v>Siletz</v>
          </cell>
          <cell r="CH239">
            <v>0</v>
          </cell>
        </row>
        <row r="240">
          <cell r="CB240" t="str">
            <v>Silverton</v>
          </cell>
          <cell r="CH240">
            <v>0</v>
          </cell>
        </row>
        <row r="241">
          <cell r="CB241" t="str">
            <v>Sisters</v>
          </cell>
          <cell r="CH241">
            <v>0</v>
          </cell>
        </row>
        <row r="242">
          <cell r="CB242" t="str">
            <v>Sodaville</v>
          </cell>
          <cell r="CH242">
            <v>0</v>
          </cell>
        </row>
        <row r="243">
          <cell r="CB243" t="str">
            <v>Spray</v>
          </cell>
          <cell r="CH243">
            <v>0</v>
          </cell>
        </row>
        <row r="244">
          <cell r="CB244" t="str">
            <v>Springfield</v>
          </cell>
          <cell r="CH244">
            <v>0</v>
          </cell>
        </row>
        <row r="245">
          <cell r="CB245" t="str">
            <v>St. Helens</v>
          </cell>
          <cell r="CH245">
            <v>0</v>
          </cell>
        </row>
        <row r="246">
          <cell r="CB246" t="str">
            <v>St. Paul</v>
          </cell>
          <cell r="CH246">
            <v>0</v>
          </cell>
        </row>
        <row r="247">
          <cell r="CB247" t="str">
            <v>Stanfield</v>
          </cell>
          <cell r="CH247">
            <v>0</v>
          </cell>
        </row>
        <row r="248">
          <cell r="CB248" t="str">
            <v>Stayton</v>
          </cell>
          <cell r="CH248">
            <v>0</v>
          </cell>
        </row>
        <row r="249">
          <cell r="CB249" t="str">
            <v>Sublimity</v>
          </cell>
          <cell r="CH249">
            <v>0</v>
          </cell>
        </row>
        <row r="250">
          <cell r="CB250" t="str">
            <v>Summerville</v>
          </cell>
          <cell r="CH250">
            <v>0</v>
          </cell>
        </row>
        <row r="251">
          <cell r="CB251" t="str">
            <v>Sumpter</v>
          </cell>
          <cell r="CH251">
            <v>0</v>
          </cell>
        </row>
        <row r="252">
          <cell r="CB252" t="str">
            <v>Sutherlin</v>
          </cell>
          <cell r="CH252">
            <v>0</v>
          </cell>
        </row>
        <row r="253">
          <cell r="CB253" t="str">
            <v>Sweet Home</v>
          </cell>
          <cell r="CH253">
            <v>0</v>
          </cell>
        </row>
        <row r="254">
          <cell r="CB254" t="str">
            <v>Talent</v>
          </cell>
          <cell r="CH254">
            <v>0</v>
          </cell>
        </row>
        <row r="255">
          <cell r="CB255" t="str">
            <v>Tangent</v>
          </cell>
          <cell r="CH255">
            <v>0</v>
          </cell>
        </row>
        <row r="256">
          <cell r="CB256" t="str">
            <v>The Dalles</v>
          </cell>
          <cell r="CH256">
            <v>0</v>
          </cell>
        </row>
        <row r="257">
          <cell r="CB257" t="str">
            <v>Tigard</v>
          </cell>
          <cell r="CH257">
            <v>0</v>
          </cell>
        </row>
        <row r="258">
          <cell r="CB258" t="str">
            <v>Tillamook</v>
          </cell>
          <cell r="CH258">
            <v>0</v>
          </cell>
        </row>
        <row r="259">
          <cell r="CB259" t="str">
            <v>Toledo</v>
          </cell>
          <cell r="CH259">
            <v>0</v>
          </cell>
        </row>
        <row r="260">
          <cell r="CB260" t="str">
            <v>Troutdale</v>
          </cell>
          <cell r="CH260">
            <v>0</v>
          </cell>
        </row>
        <row r="261">
          <cell r="CB261" t="str">
            <v>Tualatin</v>
          </cell>
          <cell r="CH261">
            <v>0</v>
          </cell>
        </row>
        <row r="262">
          <cell r="CB262" t="str">
            <v>Turner</v>
          </cell>
          <cell r="CH262">
            <v>0</v>
          </cell>
        </row>
        <row r="263">
          <cell r="CB263" t="str">
            <v>Ukiah</v>
          </cell>
          <cell r="CH263">
            <v>0</v>
          </cell>
        </row>
        <row r="264">
          <cell r="CB264" t="str">
            <v>Umatilla</v>
          </cell>
          <cell r="CH264">
            <v>0</v>
          </cell>
        </row>
        <row r="265">
          <cell r="CB265" t="str">
            <v>Union</v>
          </cell>
          <cell r="CH265">
            <v>0</v>
          </cell>
        </row>
        <row r="266">
          <cell r="CB266" t="str">
            <v>Unity</v>
          </cell>
          <cell r="CH266">
            <v>0</v>
          </cell>
        </row>
        <row r="267">
          <cell r="CB267" t="str">
            <v>Vale</v>
          </cell>
          <cell r="CH267">
            <v>0</v>
          </cell>
        </row>
        <row r="268">
          <cell r="CB268" t="str">
            <v>Veneta</v>
          </cell>
          <cell r="CH268">
            <v>0</v>
          </cell>
        </row>
        <row r="269">
          <cell r="CB269" t="str">
            <v>Vernonia</v>
          </cell>
          <cell r="CH269">
            <v>0</v>
          </cell>
        </row>
        <row r="270">
          <cell r="CB270" t="str">
            <v>Waldport</v>
          </cell>
          <cell r="CH270">
            <v>0</v>
          </cell>
        </row>
        <row r="271">
          <cell r="CB271" t="str">
            <v>Wallowa</v>
          </cell>
          <cell r="CH271">
            <v>0</v>
          </cell>
        </row>
        <row r="272">
          <cell r="CB272" t="str">
            <v>Warrenton</v>
          </cell>
          <cell r="CH272">
            <v>0</v>
          </cell>
        </row>
        <row r="273">
          <cell r="CB273" t="str">
            <v>Wasco</v>
          </cell>
          <cell r="CH273">
            <v>0</v>
          </cell>
        </row>
        <row r="274">
          <cell r="CB274" t="str">
            <v>Waterloo</v>
          </cell>
          <cell r="CH274">
            <v>0</v>
          </cell>
        </row>
        <row r="275">
          <cell r="CB275" t="str">
            <v>West Linn</v>
          </cell>
          <cell r="CH275">
            <v>0</v>
          </cell>
        </row>
        <row r="276">
          <cell r="CB276" t="str">
            <v>Westfir</v>
          </cell>
          <cell r="CH276">
            <v>0</v>
          </cell>
        </row>
        <row r="277">
          <cell r="CB277" t="str">
            <v>Weston</v>
          </cell>
          <cell r="CH277">
            <v>0</v>
          </cell>
        </row>
        <row r="278">
          <cell r="CB278" t="str">
            <v>Wheeler</v>
          </cell>
          <cell r="CH278">
            <v>0</v>
          </cell>
        </row>
        <row r="279">
          <cell r="CB279" t="str">
            <v>Willamina</v>
          </cell>
          <cell r="CH279">
            <v>0</v>
          </cell>
        </row>
        <row r="280">
          <cell r="CB280" t="str">
            <v>Wilsonville</v>
          </cell>
          <cell r="CH280">
            <v>0</v>
          </cell>
        </row>
        <row r="281">
          <cell r="CB281" t="str">
            <v>Winston</v>
          </cell>
          <cell r="CH281">
            <v>0</v>
          </cell>
        </row>
        <row r="282">
          <cell r="CB282" t="str">
            <v>Wood Village</v>
          </cell>
          <cell r="CH282">
            <v>0</v>
          </cell>
        </row>
        <row r="283">
          <cell r="CB283" t="str">
            <v>Woodburn</v>
          </cell>
          <cell r="CH283">
            <v>0</v>
          </cell>
        </row>
        <row r="284">
          <cell r="CB284" t="str">
            <v>Yachats</v>
          </cell>
          <cell r="CH284">
            <v>0</v>
          </cell>
        </row>
        <row r="285">
          <cell r="CB285" t="str">
            <v>Yamhill</v>
          </cell>
          <cell r="CH285">
            <v>0</v>
          </cell>
        </row>
        <row r="286">
          <cell r="CB286" t="str">
            <v>Yoncalla</v>
          </cell>
          <cell r="CH286">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Page"/>
      <sheetName val="Data Update Plan"/>
      <sheetName val="Inputs Dashboard"/>
      <sheetName val="Summary Table"/>
      <sheetName val="2005 Baseline Results (stretch)"/>
      <sheetName val="Bar Chart"/>
      <sheetName val="Wedge Diagram All programs"/>
      <sheetName val="Wedge Diagram Categories"/>
      <sheetName val="Outputs Dashboard"/>
      <sheetName val="GHG Inventory Data"/>
      <sheetName val="BAU Forecasting"/>
      <sheetName val="Buildings Targets"/>
      <sheetName val="C&amp;I BLDG Performance"/>
      <sheetName val="NZE Code - Commercial"/>
      <sheetName val="NZE Code - Residential"/>
      <sheetName val="EnergySmart - Commercial"/>
      <sheetName val="EnergySmart - Residential"/>
      <sheetName val="SmartRegs"/>
      <sheetName val="Municipalization DSM"/>
      <sheetName val="CU Boulder"/>
      <sheetName val="Distributed Generation"/>
      <sheetName val="Transportation"/>
      <sheetName val="Natural Gas Switchout"/>
      <sheetName val="Standard Conversion Factors"/>
      <sheetName val="2005 Baseline Results"/>
    </sheetNames>
    <sheetDataSet>
      <sheetData sheetId="0"/>
      <sheetData sheetId="1"/>
      <sheetData sheetId="2">
        <row r="25">
          <cell r="AA25">
            <v>44577.230769230751</v>
          </cell>
        </row>
      </sheetData>
      <sheetData sheetId="3"/>
      <sheetData sheetId="4"/>
      <sheetData sheetId="5"/>
      <sheetData sheetId="6" refreshError="1"/>
      <sheetData sheetId="7" refreshError="1"/>
      <sheetData sheetId="8">
        <row r="27">
          <cell r="AF27">
            <v>14862.151838053906</v>
          </cell>
        </row>
      </sheetData>
      <sheetData sheetId="9">
        <row r="14">
          <cell r="Q14">
            <v>201710.12670204081</v>
          </cell>
        </row>
      </sheetData>
      <sheetData sheetId="10">
        <row r="18">
          <cell r="AA18">
            <v>2.4576223805185133</v>
          </cell>
        </row>
      </sheetData>
      <sheetData sheetId="11"/>
      <sheetData sheetId="12">
        <row r="101">
          <cell r="B101"/>
          <cell r="C101"/>
          <cell r="D101"/>
          <cell r="E101"/>
          <cell r="F101"/>
          <cell r="G101"/>
          <cell r="H101"/>
          <cell r="I101"/>
          <cell r="J101"/>
          <cell r="K101"/>
          <cell r="L101"/>
          <cell r="M101"/>
          <cell r="N101"/>
          <cell r="O101"/>
          <cell r="P101"/>
          <cell r="Q101"/>
          <cell r="R101"/>
          <cell r="S101"/>
          <cell r="T101"/>
          <cell r="U101"/>
          <cell r="V101">
            <v>0</v>
          </cell>
          <cell r="W101">
            <v>0</v>
          </cell>
          <cell r="X101">
            <v>0</v>
          </cell>
          <cell r="Y101">
            <v>0</v>
          </cell>
          <cell r="Z101">
            <v>0</v>
          </cell>
          <cell r="AA101">
            <v>0</v>
          </cell>
          <cell r="AB101">
            <v>4910999.5960239507</v>
          </cell>
          <cell r="AC101">
            <v>9718868.2005313989</v>
          </cell>
          <cell r="AD101">
            <v>16351143.008316867</v>
          </cell>
          <cell r="AE101">
            <v>26791443.745464858</v>
          </cell>
          <cell r="AF101">
            <v>31656738.707336608</v>
          </cell>
          <cell r="AG101">
            <v>68962875.383464262</v>
          </cell>
          <cell r="AH101">
            <v>75299468.761855647</v>
          </cell>
          <cell r="AI101">
            <v>95818628.027233809</v>
          </cell>
          <cell r="AJ101">
            <v>97252618.156298101</v>
          </cell>
          <cell r="AK101">
            <v>106839922.28747693</v>
          </cell>
          <cell r="AL101">
            <v>107271289.10857457</v>
          </cell>
          <cell r="AM101">
            <v>107713919.83006129</v>
          </cell>
          <cell r="AN101">
            <v>106683798.94503547</v>
          </cell>
          <cell r="AO101">
            <v>111286030.96588835</v>
          </cell>
          <cell r="AP101">
            <v>127161155.6179605</v>
          </cell>
          <cell r="AQ101">
            <v>132696787.50429757</v>
          </cell>
          <cell r="AR101">
            <v>132000100.25090428</v>
          </cell>
          <cell r="AS101">
            <v>134666684.42845067</v>
          </cell>
          <cell r="AT101">
            <v>132830621.75792766</v>
          </cell>
          <cell r="AU101">
            <v>141496464.19052714</v>
          </cell>
          <cell r="AV101">
            <v>140180412.25621369</v>
          </cell>
          <cell r="AW101">
            <v>138775457.19587311</v>
          </cell>
          <cell r="AX101">
            <v>137402363.43064445</v>
          </cell>
          <cell r="AY101">
            <v>141482745.21134493</v>
          </cell>
          <cell r="AZ101">
            <v>143799217.75704297</v>
          </cell>
          <cell r="BA101">
            <v>149106114.82529467</v>
          </cell>
          <cell r="BB101">
            <v>147560471.17959425</v>
          </cell>
          <cell r="BC101">
            <v>150104618.76439753</v>
          </cell>
          <cell r="BD101">
            <v>147617324.07555827</v>
          </cell>
          <cell r="BE101">
            <v>148405155.35555017</v>
          </cell>
          <cell r="BF101">
            <v>147110395.9352048</v>
          </cell>
          <cell r="BG101">
            <v>145728955.96698296</v>
          </cell>
          <cell r="BH101">
            <v>144378580.76149529</v>
          </cell>
          <cell r="BI101">
            <v>148318680.65766454</v>
          </cell>
          <cell r="BJ101">
            <v>147203796.07339799</v>
          </cell>
        </row>
        <row r="109">
          <cell r="B109"/>
          <cell r="C109"/>
          <cell r="D109"/>
          <cell r="E109"/>
          <cell r="F109"/>
          <cell r="G109"/>
          <cell r="H109"/>
          <cell r="I109"/>
          <cell r="J109"/>
          <cell r="K109"/>
          <cell r="L109"/>
          <cell r="M109"/>
          <cell r="N109"/>
          <cell r="O109"/>
          <cell r="P109"/>
          <cell r="Q109"/>
          <cell r="R109"/>
          <cell r="S109"/>
          <cell r="T109"/>
          <cell r="U109"/>
          <cell r="V109">
            <v>0</v>
          </cell>
          <cell r="W109">
            <v>0</v>
          </cell>
          <cell r="X109">
            <v>0</v>
          </cell>
          <cell r="Y109">
            <v>0</v>
          </cell>
          <cell r="Z109">
            <v>0</v>
          </cell>
          <cell r="AA109">
            <v>0</v>
          </cell>
          <cell r="AB109">
            <v>139001.63638366287</v>
          </cell>
          <cell r="AC109">
            <v>275084.23840326886</v>
          </cell>
          <cell r="AD109">
            <v>462805.0950644486</v>
          </cell>
          <cell r="AE109">
            <v>758308.863375908</v>
          </cell>
          <cell r="AF109">
            <v>896016.86924438702</v>
          </cell>
          <cell r="AG109">
            <v>1416950.0134010008</v>
          </cell>
          <cell r="AH109">
            <v>1496064.1727832481</v>
          </cell>
          <cell r="AI109">
            <v>1782302.0945018772</v>
          </cell>
          <cell r="AJ109">
            <v>1785260.5383693324</v>
          </cell>
          <cell r="AK109">
            <v>1855399.6864390173</v>
          </cell>
          <cell r="AL109">
            <v>1835457.5898707067</v>
          </cell>
          <cell r="AM109">
            <v>1815834.3083532886</v>
          </cell>
          <cell r="AN109">
            <v>1786677.6191921853</v>
          </cell>
          <cell r="AO109">
            <v>1916939.853877313</v>
          </cell>
          <cell r="AP109">
            <v>2366271.6571662445</v>
          </cell>
          <cell r="AQ109">
            <v>2522952.9754138384</v>
          </cell>
          <cell r="AR109">
            <v>2503233.8395483601</v>
          </cell>
          <cell r="AS109">
            <v>2578709.2202700013</v>
          </cell>
          <cell r="AT109">
            <v>2526741.0393089838</v>
          </cell>
          <cell r="AU109">
            <v>2772020.2854627711</v>
          </cell>
          <cell r="AV109">
            <v>2734770.5629045446</v>
          </cell>
          <cell r="AW109">
            <v>2695004.5135261328</v>
          </cell>
          <cell r="AX109">
            <v>2656140.2708107573</v>
          </cell>
          <cell r="AY109">
            <v>2771631.9815098685</v>
          </cell>
          <cell r="AZ109">
            <v>2837197.7524275752</v>
          </cell>
          <cell r="BA109">
            <v>2987404.9276030487</v>
          </cell>
          <cell r="BB109">
            <v>2943656.8083418878</v>
          </cell>
          <cell r="BC109">
            <v>3015666.7261955799</v>
          </cell>
          <cell r="BD109">
            <v>2945265.9808571022</v>
          </cell>
          <cell r="BE109">
            <v>2967564.8703136938</v>
          </cell>
          <cell r="BF109">
            <v>2930917.8141223476</v>
          </cell>
          <cell r="BG109">
            <v>2891817.339281321</v>
          </cell>
          <cell r="BH109">
            <v>2853596.1259367536</v>
          </cell>
          <cell r="BI109">
            <v>2965117.278071655</v>
          </cell>
          <cell r="BJ109">
            <v>2933561.4250193685</v>
          </cell>
        </row>
      </sheetData>
      <sheetData sheetId="13">
        <row r="71">
          <cell r="B71"/>
        </row>
      </sheetData>
      <sheetData sheetId="14">
        <row r="65">
          <cell r="B65"/>
        </row>
      </sheetData>
      <sheetData sheetId="15">
        <row r="33">
          <cell r="B33"/>
          <cell r="C33"/>
          <cell r="D33"/>
          <cell r="E33"/>
          <cell r="F33"/>
          <cell r="G33"/>
          <cell r="H33"/>
          <cell r="I33"/>
          <cell r="J33"/>
          <cell r="K33"/>
          <cell r="L33"/>
          <cell r="M33"/>
          <cell r="N33"/>
          <cell r="O33"/>
          <cell r="P33"/>
          <cell r="Q33"/>
          <cell r="R33"/>
          <cell r="S33"/>
          <cell r="T33"/>
          <cell r="U33"/>
          <cell r="V33">
            <v>11784.864</v>
          </cell>
          <cell r="W33">
            <v>3699687.8631499992</v>
          </cell>
          <cell r="X33">
            <v>6930303.7034</v>
          </cell>
          <cell r="Y33">
            <v>9061109.8033999987</v>
          </cell>
          <cell r="Z33">
            <v>10254019.803399999</v>
          </cell>
          <cell r="AA33">
            <v>12694426.302974999</v>
          </cell>
          <cell r="AB33">
            <v>15134832.802549999</v>
          </cell>
          <cell r="AC33">
            <v>17575239.302124999</v>
          </cell>
          <cell r="AD33">
            <v>20015645.8017</v>
          </cell>
          <cell r="AE33">
            <v>22456052.301275</v>
          </cell>
          <cell r="AF33">
            <v>24896458.80085</v>
          </cell>
          <cell r="AG33">
            <v>27336865.300425</v>
          </cell>
          <cell r="AH33">
            <v>29777271.800000001</v>
          </cell>
          <cell r="AI33">
            <v>32217678.299575001</v>
          </cell>
          <cell r="AJ33">
            <v>34658084.799149998</v>
          </cell>
          <cell r="AK33">
            <v>37098491.298724994</v>
          </cell>
          <cell r="AL33">
            <v>39538897.798299991</v>
          </cell>
          <cell r="AM33">
            <v>41979304.297874987</v>
          </cell>
          <cell r="AN33">
            <v>44419710.797449984</v>
          </cell>
          <cell r="AO33">
            <v>46860117.29702498</v>
          </cell>
          <cell r="AP33">
            <v>49300523.796599977</v>
          </cell>
          <cell r="AQ33">
            <v>51740930.296174973</v>
          </cell>
          <cell r="AR33">
            <v>54181336.79574997</v>
          </cell>
          <cell r="AS33">
            <v>56621743.295324966</v>
          </cell>
          <cell r="AT33">
            <v>59062149.794899963</v>
          </cell>
          <cell r="AU33">
            <v>61502556.294474959</v>
          </cell>
          <cell r="AV33">
            <v>63942962.794049956</v>
          </cell>
          <cell r="AW33">
            <v>66383369.293624952</v>
          </cell>
          <cell r="AX33">
            <v>68823775.793199956</v>
          </cell>
          <cell r="AY33">
            <v>71264182.29277496</v>
          </cell>
          <cell r="AZ33">
            <v>73704588.792349964</v>
          </cell>
          <cell r="BA33">
            <v>76144995.291924968</v>
          </cell>
          <cell r="BB33">
            <v>78585401.791499972</v>
          </cell>
          <cell r="BC33">
            <v>81025808.291074976</v>
          </cell>
          <cell r="BD33">
            <v>83466214.79064998</v>
          </cell>
          <cell r="BE33">
            <v>85906621.290224984</v>
          </cell>
          <cell r="BF33">
            <v>88347027.789799988</v>
          </cell>
          <cell r="BG33">
            <v>90787434.289374992</v>
          </cell>
          <cell r="BH33">
            <v>93227840.788949996</v>
          </cell>
          <cell r="BI33">
            <v>95668247.288525</v>
          </cell>
          <cell r="BJ33">
            <v>98108653.788100004</v>
          </cell>
        </row>
        <row r="34">
          <cell r="B34"/>
          <cell r="C34"/>
          <cell r="D34"/>
          <cell r="E34"/>
          <cell r="F34"/>
          <cell r="G34"/>
          <cell r="H34"/>
          <cell r="I34"/>
          <cell r="J34"/>
          <cell r="K34"/>
          <cell r="L34"/>
          <cell r="M34"/>
          <cell r="N34"/>
          <cell r="O34"/>
          <cell r="P34"/>
          <cell r="Q34"/>
          <cell r="R34"/>
          <cell r="S34"/>
          <cell r="T34"/>
          <cell r="U34"/>
          <cell r="V34">
            <v>0</v>
          </cell>
          <cell r="W34">
            <v>685</v>
          </cell>
          <cell r="X34">
            <v>962.88290525979392</v>
          </cell>
          <cell r="Y34">
            <v>3237.0039741950172</v>
          </cell>
          <cell r="Z34">
            <v>4813.0039741950168</v>
          </cell>
          <cell r="AA34">
            <v>5943.5039741950168</v>
          </cell>
          <cell r="AB34">
            <v>7074.0039741950168</v>
          </cell>
          <cell r="AC34">
            <v>8204.5039741950168</v>
          </cell>
          <cell r="AD34">
            <v>9335.0039741950168</v>
          </cell>
          <cell r="AE34">
            <v>10465.503974195017</v>
          </cell>
          <cell r="AF34">
            <v>11596.003974195017</v>
          </cell>
          <cell r="AG34">
            <v>12726.503974195017</v>
          </cell>
          <cell r="AH34">
            <v>13857.003974195017</v>
          </cell>
          <cell r="AI34">
            <v>14987.503974195017</v>
          </cell>
          <cell r="AJ34">
            <v>16118.003974195017</v>
          </cell>
          <cell r="AK34">
            <v>17248.503974195017</v>
          </cell>
          <cell r="AL34">
            <v>18379.003974195017</v>
          </cell>
          <cell r="AM34">
            <v>19509.503974195017</v>
          </cell>
          <cell r="AN34">
            <v>20640.003974195017</v>
          </cell>
          <cell r="AO34">
            <v>21770.503974195017</v>
          </cell>
          <cell r="AP34">
            <v>22901.003974195017</v>
          </cell>
          <cell r="AQ34">
            <v>24031.503974195017</v>
          </cell>
          <cell r="AR34">
            <v>25162.003974195017</v>
          </cell>
          <cell r="AS34">
            <v>26292.503974195017</v>
          </cell>
          <cell r="AT34">
            <v>27423.003974195017</v>
          </cell>
          <cell r="AU34">
            <v>28553.503974195017</v>
          </cell>
          <cell r="AV34">
            <v>29684.003974195017</v>
          </cell>
          <cell r="AW34">
            <v>30814.503974195017</v>
          </cell>
          <cell r="AX34">
            <v>31945.003974195017</v>
          </cell>
          <cell r="AY34">
            <v>33075.503974195017</v>
          </cell>
          <cell r="AZ34">
            <v>34206.003974195017</v>
          </cell>
          <cell r="BA34">
            <v>35336.503974195017</v>
          </cell>
          <cell r="BB34">
            <v>36467.003974195017</v>
          </cell>
          <cell r="BC34">
            <v>37597.503974195017</v>
          </cell>
          <cell r="BD34">
            <v>38728.003974195017</v>
          </cell>
          <cell r="BE34">
            <v>39858.503974195017</v>
          </cell>
          <cell r="BF34">
            <v>40989.003974195017</v>
          </cell>
          <cell r="BG34">
            <v>42119.503974195017</v>
          </cell>
          <cell r="BH34">
            <v>43250.003974195017</v>
          </cell>
          <cell r="BI34">
            <v>44380.503974195017</v>
          </cell>
          <cell r="BJ34">
            <v>45511.003974195017</v>
          </cell>
        </row>
      </sheetData>
      <sheetData sheetId="16"/>
      <sheetData sheetId="17">
        <row r="35">
          <cell r="B35"/>
          <cell r="C35"/>
          <cell r="D35"/>
          <cell r="E35"/>
          <cell r="F35"/>
          <cell r="G35"/>
          <cell r="H35"/>
          <cell r="I35"/>
          <cell r="J35"/>
          <cell r="K35"/>
          <cell r="L35"/>
          <cell r="M35"/>
          <cell r="N35"/>
          <cell r="O35"/>
          <cell r="P35"/>
          <cell r="Q35"/>
          <cell r="R35"/>
          <cell r="S35"/>
          <cell r="T35"/>
          <cell r="U35"/>
          <cell r="V35"/>
          <cell r="W35">
            <v>437044.49</v>
          </cell>
          <cell r="X35">
            <v>954088.47</v>
          </cell>
          <cell r="Y35">
            <v>1148846.6099999999</v>
          </cell>
          <cell r="Z35">
            <v>1255078.7699999998</v>
          </cell>
          <cell r="AA35">
            <v>2196964.7699999996</v>
          </cell>
          <cell r="AB35">
            <v>2816044.7699999996</v>
          </cell>
          <cell r="AC35">
            <v>3435124.7699999996</v>
          </cell>
          <cell r="AD35">
            <v>4390276.7699999996</v>
          </cell>
          <cell r="AE35">
            <v>4390276.7699999996</v>
          </cell>
          <cell r="AF35">
            <v>4390276.7699999996</v>
          </cell>
          <cell r="AG35">
            <v>4390276.7699999996</v>
          </cell>
          <cell r="AH35">
            <v>4390276.7699999996</v>
          </cell>
          <cell r="AI35">
            <v>4390276.7699999996</v>
          </cell>
          <cell r="AJ35">
            <v>4390276.7699999996</v>
          </cell>
          <cell r="AK35">
            <v>4390276.7699999996</v>
          </cell>
          <cell r="AL35">
            <v>4390276.7699999996</v>
          </cell>
          <cell r="AM35">
            <v>4390276.7699999996</v>
          </cell>
          <cell r="AN35">
            <v>4390276.7699999996</v>
          </cell>
          <cell r="AO35">
            <v>4390276.7699999996</v>
          </cell>
          <cell r="AP35">
            <v>4390276.7699999996</v>
          </cell>
          <cell r="AQ35">
            <v>4390276.7699999996</v>
          </cell>
          <cell r="AR35">
            <v>4390276.7699999996</v>
          </cell>
          <cell r="AS35">
            <v>4390276.7699999996</v>
          </cell>
          <cell r="AT35">
            <v>4390276.7699999996</v>
          </cell>
          <cell r="AU35">
            <v>4390276.7699999996</v>
          </cell>
          <cell r="AV35">
            <v>4390276.7699999996</v>
          </cell>
          <cell r="AW35">
            <v>4390276.7699999996</v>
          </cell>
          <cell r="AX35">
            <v>4390276.7699999996</v>
          </cell>
          <cell r="AY35">
            <v>4390276.7699999996</v>
          </cell>
          <cell r="AZ35">
            <v>4390276.7699999996</v>
          </cell>
          <cell r="BA35">
            <v>4390276.7699999996</v>
          </cell>
          <cell r="BB35">
            <v>4390276.7699999996</v>
          </cell>
          <cell r="BC35">
            <v>4390276.7699999996</v>
          </cell>
          <cell r="BD35">
            <v>4390276.7699999996</v>
          </cell>
          <cell r="BE35">
            <v>4390276.7699999996</v>
          </cell>
          <cell r="BF35">
            <v>4390276.7699999996</v>
          </cell>
          <cell r="BG35">
            <v>4390276.7699999996</v>
          </cell>
          <cell r="BH35">
            <v>4390276.7699999996</v>
          </cell>
          <cell r="BI35">
            <v>4390276.7699999996</v>
          </cell>
          <cell r="BJ35">
            <v>4390276.7699999996</v>
          </cell>
        </row>
        <row r="36">
          <cell r="B36"/>
          <cell r="C36"/>
          <cell r="D36"/>
          <cell r="E36"/>
          <cell r="F36"/>
          <cell r="G36"/>
          <cell r="H36"/>
          <cell r="I36"/>
          <cell r="J36"/>
          <cell r="K36"/>
          <cell r="L36"/>
          <cell r="M36"/>
          <cell r="N36"/>
          <cell r="O36"/>
          <cell r="P36"/>
          <cell r="Q36"/>
          <cell r="R36"/>
          <cell r="S36"/>
          <cell r="T36"/>
          <cell r="U36"/>
          <cell r="V36"/>
          <cell r="W36">
            <v>135802.6</v>
          </cell>
          <cell r="X36">
            <v>256515.18</v>
          </cell>
          <cell r="Y36">
            <v>297080.69</v>
          </cell>
          <cell r="Z36">
            <v>322682.84999999998</v>
          </cell>
          <cell r="AA36">
            <v>562001.13</v>
          </cell>
          <cell r="AB36">
            <v>719299.53</v>
          </cell>
          <cell r="AC36">
            <v>876597.93</v>
          </cell>
          <cell r="AD36">
            <v>1119286.8900000001</v>
          </cell>
          <cell r="AE36">
            <v>1119286.8900000001</v>
          </cell>
          <cell r="AF36">
            <v>1119286.8900000001</v>
          </cell>
          <cell r="AG36">
            <v>1119286.8900000001</v>
          </cell>
          <cell r="AH36">
            <v>1119286.8900000001</v>
          </cell>
          <cell r="AI36">
            <v>1119286.8900000001</v>
          </cell>
          <cell r="AJ36">
            <v>1119286.8900000001</v>
          </cell>
          <cell r="AK36">
            <v>1119286.8900000001</v>
          </cell>
          <cell r="AL36">
            <v>1119286.8900000001</v>
          </cell>
          <cell r="AM36">
            <v>1119286.8900000001</v>
          </cell>
          <cell r="AN36">
            <v>1119286.8900000001</v>
          </cell>
          <cell r="AO36">
            <v>1119286.8900000001</v>
          </cell>
          <cell r="AP36">
            <v>1119286.8900000001</v>
          </cell>
          <cell r="AQ36">
            <v>1119286.8900000001</v>
          </cell>
          <cell r="AR36">
            <v>1119286.8900000001</v>
          </cell>
          <cell r="AS36">
            <v>1119286.8900000001</v>
          </cell>
          <cell r="AT36">
            <v>1119286.8900000001</v>
          </cell>
          <cell r="AU36">
            <v>1119286.8900000001</v>
          </cell>
          <cell r="AV36">
            <v>1119286.8900000001</v>
          </cell>
          <cell r="AW36">
            <v>1119286.8900000001</v>
          </cell>
          <cell r="AX36">
            <v>1119286.8900000001</v>
          </cell>
          <cell r="AY36">
            <v>1119286.8900000001</v>
          </cell>
          <cell r="AZ36">
            <v>1119286.8900000001</v>
          </cell>
          <cell r="BA36">
            <v>1119286.8900000001</v>
          </cell>
          <cell r="BB36">
            <v>1119286.8900000001</v>
          </cell>
          <cell r="BC36">
            <v>1119286.8900000001</v>
          </cell>
          <cell r="BD36">
            <v>1119286.8900000001</v>
          </cell>
          <cell r="BE36">
            <v>1119286.8900000001</v>
          </cell>
          <cell r="BF36">
            <v>1119286.8900000001</v>
          </cell>
          <cell r="BG36">
            <v>1119286.8900000001</v>
          </cell>
          <cell r="BH36">
            <v>1119286.8900000001</v>
          </cell>
          <cell r="BI36">
            <v>1119286.8900000001</v>
          </cell>
          <cell r="BJ36">
            <v>1119286.8900000001</v>
          </cell>
        </row>
      </sheetData>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anking of cities"/>
      <sheetName val="Table 4 report"/>
      <sheetName val="final 2010 to table4"/>
      <sheetName val="final 2010"/>
      <sheetName val="annexJan1thruJune30,2010"/>
      <sheetName val="cert2010 cityest"/>
      <sheetName val="city check for form datarec"/>
      <sheetName val="cert2010County est"/>
      <sheetName val="form data"/>
      <sheetName val="Census 2010"/>
      <sheetName val="COUNTY AND STATE POSTCENSAL EST"/>
    </sheetNames>
    <sheetDataSet>
      <sheetData sheetId="0"/>
      <sheetData sheetId="1"/>
      <sheetData sheetId="2"/>
      <sheetData sheetId="3"/>
      <sheetData sheetId="4"/>
      <sheetData sheetId="5"/>
      <sheetData sheetId="6">
        <row r="248">
          <cell r="A248" t="str">
            <v>Albany Benton</v>
          </cell>
          <cell r="B248" t="str">
            <v>Benton County (part), Albany city</v>
          </cell>
          <cell r="C248" t="str">
            <v>Albany (part)*</v>
          </cell>
          <cell r="D248">
            <v>7257.943866332741</v>
          </cell>
          <cell r="F248">
            <v>3</v>
          </cell>
          <cell r="G248" t="str">
            <v>Benton County (part), Albany city</v>
          </cell>
          <cell r="H248">
            <v>6463</v>
          </cell>
          <cell r="I248">
            <v>6463</v>
          </cell>
          <cell r="J248">
            <v>0</v>
          </cell>
          <cell r="K248">
            <v>2553</v>
          </cell>
          <cell r="L248">
            <v>2440</v>
          </cell>
          <cell r="M248">
            <v>2.5315315315315314</v>
          </cell>
          <cell r="N248">
            <v>0</v>
          </cell>
          <cell r="P248">
            <v>6586.9944144144147</v>
          </cell>
          <cell r="Q248">
            <v>123.99441441441468</v>
          </cell>
          <cell r="R248">
            <v>0.13088852721443883</v>
          </cell>
        </row>
        <row r="249">
          <cell r="A249" t="str">
            <v>Albany Linn</v>
          </cell>
          <cell r="B249" t="str">
            <v>Linn County (part), Albany city</v>
          </cell>
          <cell r="D249">
            <v>42272.056133667262</v>
          </cell>
          <cell r="F249">
            <v>43</v>
          </cell>
          <cell r="G249" t="str">
            <v>Linn County (part), Albany city</v>
          </cell>
          <cell r="H249">
            <v>43695</v>
          </cell>
          <cell r="I249">
            <v>42871</v>
          </cell>
          <cell r="J249">
            <v>824</v>
          </cell>
          <cell r="K249">
            <v>18426</v>
          </cell>
          <cell r="L249">
            <v>17265</v>
          </cell>
          <cell r="M249">
            <v>2.3266579832844894</v>
          </cell>
          <cell r="N249">
            <v>0</v>
          </cell>
          <cell r="P249">
            <v>43738.229305329427</v>
          </cell>
          <cell r="Q249">
            <v>867.22930532942701</v>
          </cell>
          <cell r="R249">
            <v>0.86911147278556111</v>
          </cell>
        </row>
        <row r="250">
          <cell r="A250" t="str">
            <v>Gates Linn</v>
          </cell>
          <cell r="B250" t="str">
            <v>Linn County (part), Gates city</v>
          </cell>
          <cell r="D250">
            <v>50</v>
          </cell>
          <cell r="F250">
            <v>43</v>
          </cell>
          <cell r="G250" t="str">
            <v>Linn County (part), Gates city</v>
          </cell>
          <cell r="H250">
            <v>40</v>
          </cell>
          <cell r="I250">
            <v>40</v>
          </cell>
          <cell r="J250">
            <v>0</v>
          </cell>
          <cell r="K250">
            <v>23</v>
          </cell>
          <cell r="L250">
            <v>19</v>
          </cell>
          <cell r="M250">
            <v>1.7391304347826086</v>
          </cell>
          <cell r="N250">
            <v>0</v>
          </cell>
          <cell r="P250">
            <v>41.739130434782609</v>
          </cell>
          <cell r="Q250">
            <v>1.7391304347826093</v>
          </cell>
          <cell r="R250">
            <v>8.8292099696495902E-2</v>
          </cell>
        </row>
        <row r="251">
          <cell r="A251" t="str">
            <v>Gates marion</v>
          </cell>
          <cell r="B251" t="str">
            <v>Marion County (part), Gates city</v>
          </cell>
          <cell r="D251">
            <v>455</v>
          </cell>
          <cell r="F251">
            <v>47</v>
          </cell>
          <cell r="G251" t="str">
            <v>Marion County (part), Gates city</v>
          </cell>
          <cell r="H251">
            <v>431</v>
          </cell>
          <cell r="I251">
            <v>431</v>
          </cell>
          <cell r="J251">
            <v>0</v>
          </cell>
          <cell r="K251">
            <v>226</v>
          </cell>
          <cell r="L251">
            <v>203</v>
          </cell>
          <cell r="M251">
            <v>1.9070796460176991</v>
          </cell>
          <cell r="N251">
            <v>0</v>
          </cell>
          <cell r="P251">
            <v>431</v>
          </cell>
          <cell r="Q251">
            <v>0</v>
          </cell>
          <cell r="R251">
            <v>0.91170790030350413</v>
          </cell>
        </row>
        <row r="252">
          <cell r="A252" t="str">
            <v>Idanha Linn</v>
          </cell>
          <cell r="B252" t="str">
            <v>Linn County (part), Idanha city</v>
          </cell>
          <cell r="D252">
            <v>85</v>
          </cell>
          <cell r="F252">
            <v>43</v>
          </cell>
          <cell r="G252" t="str">
            <v>Linn County (part), Idanha city</v>
          </cell>
          <cell r="H252">
            <v>57</v>
          </cell>
          <cell r="I252">
            <v>57</v>
          </cell>
          <cell r="J252">
            <v>0</v>
          </cell>
          <cell r="K252">
            <v>39</v>
          </cell>
          <cell r="L252">
            <v>30</v>
          </cell>
          <cell r="M252">
            <v>1.4615384615384615</v>
          </cell>
          <cell r="N252">
            <v>0</v>
          </cell>
          <cell r="P252">
            <v>57</v>
          </cell>
          <cell r="Q252">
            <v>0</v>
          </cell>
          <cell r="R252">
            <v>0.42537313432835822</v>
          </cell>
        </row>
        <row r="253">
          <cell r="A253" t="str">
            <v>Idanha Marion</v>
          </cell>
          <cell r="B253" t="str">
            <v>Marion County (part), Idanha city</v>
          </cell>
          <cell r="D253">
            <v>145</v>
          </cell>
          <cell r="F253">
            <v>47</v>
          </cell>
          <cell r="G253" t="str">
            <v>Marion County (part), Idanha city</v>
          </cell>
          <cell r="H253">
            <v>77</v>
          </cell>
          <cell r="I253">
            <v>77</v>
          </cell>
          <cell r="J253">
            <v>0</v>
          </cell>
          <cell r="K253">
            <v>47</v>
          </cell>
          <cell r="L253">
            <v>35</v>
          </cell>
          <cell r="M253">
            <v>1.6382978723404256</v>
          </cell>
          <cell r="N253">
            <v>0</v>
          </cell>
          <cell r="P253">
            <v>77</v>
          </cell>
          <cell r="Q253">
            <v>0</v>
          </cell>
          <cell r="R253">
            <v>0.57462686567164178</v>
          </cell>
        </row>
        <row r="254">
          <cell r="A254" t="str">
            <v>Lake Oswego Clackamas</v>
          </cell>
          <cell r="B254" t="str">
            <v>Clackamas County (part), Lake Oswego city</v>
          </cell>
          <cell r="D254">
            <v>34496.444309657403</v>
          </cell>
          <cell r="F254">
            <v>5</v>
          </cell>
          <cell r="G254" t="str">
            <v>Clackamas County (part), Lake Oswego city</v>
          </cell>
          <cell r="H254">
            <v>34066</v>
          </cell>
          <cell r="I254">
            <v>33844</v>
          </cell>
          <cell r="J254">
            <v>222</v>
          </cell>
          <cell r="K254">
            <v>15513</v>
          </cell>
          <cell r="L254">
            <v>14537</v>
          </cell>
          <cell r="M254">
            <v>2.1816540965641722</v>
          </cell>
          <cell r="N254">
            <v>0</v>
          </cell>
          <cell r="P254">
            <v>34066</v>
          </cell>
          <cell r="Q254">
            <v>222</v>
          </cell>
          <cell r="R254">
            <v>0.93028209399492068</v>
          </cell>
        </row>
        <row r="255">
          <cell r="A255" t="str">
            <v>Lake Oswego Mulnomah</v>
          </cell>
          <cell r="B255" t="str">
            <v>Multnomah County (part), Lake Oswego city</v>
          </cell>
          <cell r="D255">
            <v>2328.5067174137375</v>
          </cell>
          <cell r="F255">
            <v>51</v>
          </cell>
          <cell r="G255" t="str">
            <v>Multnomah County (part), Lake Oswego city</v>
          </cell>
          <cell r="H255">
            <v>2544</v>
          </cell>
          <cell r="I255">
            <v>2544</v>
          </cell>
          <cell r="J255">
            <v>0</v>
          </cell>
          <cell r="K255">
            <v>1477</v>
          </cell>
          <cell r="L255">
            <v>1351</v>
          </cell>
          <cell r="M255">
            <v>1.7224102911306702</v>
          </cell>
          <cell r="N255">
            <v>0</v>
          </cell>
          <cell r="P255">
            <v>2544</v>
          </cell>
          <cell r="Q255">
            <v>0</v>
          </cell>
          <cell r="R255">
            <v>6.9472131953357552E-2</v>
          </cell>
        </row>
        <row r="256">
          <cell r="A256" t="str">
            <v>Lake Oswego Washington</v>
          </cell>
          <cell r="B256" t="str">
            <v>Washington County (part), Lake Oswego city</v>
          </cell>
          <cell r="D256">
            <v>20.048972928853217</v>
          </cell>
          <cell r="F256">
            <v>67</v>
          </cell>
          <cell r="G256" t="str">
            <v>Washington County (part), Lake Oswego city</v>
          </cell>
          <cell r="H256">
            <v>9</v>
          </cell>
          <cell r="I256">
            <v>9</v>
          </cell>
          <cell r="J256">
            <v>0</v>
          </cell>
          <cell r="K256">
            <v>5</v>
          </cell>
          <cell r="L256">
            <v>5</v>
          </cell>
          <cell r="M256">
            <v>1.8</v>
          </cell>
          <cell r="N256">
            <v>0</v>
          </cell>
          <cell r="P256">
            <v>9</v>
          </cell>
          <cell r="Q256">
            <v>0</v>
          </cell>
          <cell r="R256">
            <v>2.4577405172176991E-4</v>
          </cell>
        </row>
        <row r="257">
          <cell r="A257" t="str">
            <v>Mill City Linn</v>
          </cell>
          <cell r="B257" t="str">
            <v>Linn County (part), Mill City city</v>
          </cell>
          <cell r="D257">
            <v>1330.2307692307693</v>
          </cell>
          <cell r="F257">
            <v>43</v>
          </cell>
          <cell r="G257" t="str">
            <v>Linn County (part), Mill City city</v>
          </cell>
          <cell r="H257">
            <v>1531</v>
          </cell>
          <cell r="I257">
            <v>1531</v>
          </cell>
          <cell r="J257">
            <v>0</v>
          </cell>
          <cell r="K257">
            <v>599</v>
          </cell>
          <cell r="L257">
            <v>559</v>
          </cell>
          <cell r="M257">
            <v>2.5559265442404007</v>
          </cell>
          <cell r="N257">
            <v>0</v>
          </cell>
          <cell r="P257">
            <v>1531</v>
          </cell>
          <cell r="Q257">
            <v>0</v>
          </cell>
          <cell r="R257">
            <v>0.82533692722371965</v>
          </cell>
        </row>
        <row r="258">
          <cell r="A258" t="str">
            <v>Mill City marion</v>
          </cell>
          <cell r="B258" t="str">
            <v>Marion County (part), Mill City city</v>
          </cell>
          <cell r="D258">
            <v>329.72781065088759</v>
          </cell>
          <cell r="F258">
            <v>47</v>
          </cell>
          <cell r="G258" t="str">
            <v>Marion County (part), Mill City city</v>
          </cell>
          <cell r="H258">
            <v>324</v>
          </cell>
          <cell r="I258">
            <v>324</v>
          </cell>
          <cell r="J258">
            <v>0</v>
          </cell>
          <cell r="K258">
            <v>143</v>
          </cell>
          <cell r="L258">
            <v>122</v>
          </cell>
          <cell r="M258">
            <v>2.2657342657342658</v>
          </cell>
          <cell r="N258">
            <v>0</v>
          </cell>
          <cell r="P258">
            <v>324</v>
          </cell>
          <cell r="Q258">
            <v>0</v>
          </cell>
          <cell r="R258">
            <v>0.17466307277628035</v>
          </cell>
        </row>
        <row r="259">
          <cell r="A259" t="str">
            <v>Portland Clackamas</v>
          </cell>
          <cell r="B259" t="str">
            <v>Clackamas County (part), Portland city</v>
          </cell>
          <cell r="D259">
            <v>822.4016972153986</v>
          </cell>
          <cell r="F259">
            <v>5</v>
          </cell>
          <cell r="G259" t="str">
            <v>Clackamas County (part), Portland city</v>
          </cell>
          <cell r="H259">
            <v>744</v>
          </cell>
          <cell r="I259">
            <v>738</v>
          </cell>
          <cell r="J259">
            <v>6</v>
          </cell>
          <cell r="K259">
            <v>284</v>
          </cell>
          <cell r="L259">
            <v>271</v>
          </cell>
          <cell r="M259">
            <v>2.5985915492957745</v>
          </cell>
          <cell r="N259">
            <v>0</v>
          </cell>
          <cell r="P259">
            <v>744</v>
          </cell>
          <cell r="Q259">
            <v>6</v>
          </cell>
          <cell r="R259">
            <v>1.2744614372636079E-3</v>
          </cell>
        </row>
        <row r="260">
          <cell r="A260" t="str">
            <v>Portland Multnomah</v>
          </cell>
          <cell r="B260" t="str">
            <v>Multnomah County (part), Portland city</v>
          </cell>
          <cell r="D260">
            <v>581443.01457578212</v>
          </cell>
          <cell r="F260">
            <v>51</v>
          </cell>
          <cell r="G260" t="str">
            <v>Multnomah County (part), Portland city</v>
          </cell>
          <cell r="H260">
            <v>581485</v>
          </cell>
          <cell r="I260">
            <v>563737</v>
          </cell>
          <cell r="J260">
            <v>17748</v>
          </cell>
          <cell r="K260">
            <v>264391</v>
          </cell>
          <cell r="L260">
            <v>247558</v>
          </cell>
          <cell r="M260">
            <v>2.1322094927588306</v>
          </cell>
          <cell r="N260">
            <v>0</v>
          </cell>
          <cell r="P260">
            <v>581485</v>
          </cell>
          <cell r="Q260">
            <v>17748</v>
          </cell>
          <cell r="R260">
            <v>0.99607554952584554</v>
          </cell>
        </row>
        <row r="261">
          <cell r="A261" t="str">
            <v>Portland Washington</v>
          </cell>
          <cell r="B261" t="str">
            <v>Washington County (part), Portland city</v>
          </cell>
          <cell r="D261">
            <v>1569.5837270024931</v>
          </cell>
          <cell r="F261">
            <v>67</v>
          </cell>
          <cell r="G261" t="str">
            <v>Washington County (part), Portland city</v>
          </cell>
          <cell r="H261">
            <v>1547</v>
          </cell>
          <cell r="I261">
            <v>1547</v>
          </cell>
          <cell r="J261">
            <v>0</v>
          </cell>
          <cell r="K261">
            <v>764</v>
          </cell>
          <cell r="L261">
            <v>717</v>
          </cell>
          <cell r="M261">
            <v>2.0248691099476441</v>
          </cell>
          <cell r="N261">
            <v>0</v>
          </cell>
          <cell r="P261">
            <v>1547</v>
          </cell>
          <cell r="Q261">
            <v>0</v>
          </cell>
          <cell r="R261">
            <v>2.649989036890843E-3</v>
          </cell>
        </row>
        <row r="262">
          <cell r="A262" t="str">
            <v>Rivergrove Clackamas</v>
          </cell>
          <cell r="B262" t="str">
            <v>Clackamas County (part), Rivergrove city</v>
          </cell>
          <cell r="D262">
            <v>315</v>
          </cell>
          <cell r="F262">
            <v>5</v>
          </cell>
          <cell r="G262" t="str">
            <v>Clackamas County (part), Rivergrove city</v>
          </cell>
          <cell r="H262">
            <v>257</v>
          </cell>
          <cell r="I262">
            <v>257</v>
          </cell>
          <cell r="J262">
            <v>0</v>
          </cell>
          <cell r="K262">
            <v>120</v>
          </cell>
          <cell r="L262">
            <v>110</v>
          </cell>
          <cell r="M262">
            <v>2.1416666666666666</v>
          </cell>
          <cell r="N262">
            <v>0</v>
          </cell>
          <cell r="P262">
            <v>257</v>
          </cell>
          <cell r="Q262">
            <v>0</v>
          </cell>
          <cell r="R262">
            <v>0.88927335640138405</v>
          </cell>
        </row>
        <row r="263">
          <cell r="A263" t="str">
            <v>Rivergrove Washington</v>
          </cell>
          <cell r="B263" t="str">
            <v>Washington County (part), Rivergrove city</v>
          </cell>
          <cell r="D263">
            <v>35</v>
          </cell>
          <cell r="F263">
            <v>67</v>
          </cell>
          <cell r="G263" t="str">
            <v>Washington County (part), Rivergrove city</v>
          </cell>
          <cell r="H263">
            <v>32</v>
          </cell>
          <cell r="I263">
            <v>32</v>
          </cell>
          <cell r="J263">
            <v>0</v>
          </cell>
          <cell r="K263">
            <v>13</v>
          </cell>
          <cell r="L263">
            <v>13</v>
          </cell>
          <cell r="M263">
            <v>2.4615384615384617</v>
          </cell>
          <cell r="N263">
            <v>0</v>
          </cell>
          <cell r="P263">
            <v>32</v>
          </cell>
          <cell r="Q263">
            <v>0</v>
          </cell>
          <cell r="R263">
            <v>0.11072664359861595</v>
          </cell>
        </row>
        <row r="264">
          <cell r="A264" t="str">
            <v>Salem marion</v>
          </cell>
          <cell r="B264" t="str">
            <v>Marion County (part), Salem city</v>
          </cell>
          <cell r="D264">
            <v>133883.24356417326</v>
          </cell>
          <cell r="F264">
            <v>47</v>
          </cell>
          <cell r="G264" t="str">
            <v>Marion County (part), Salem city</v>
          </cell>
          <cell r="H264">
            <v>130398</v>
          </cell>
          <cell r="I264">
            <v>121852</v>
          </cell>
          <cell r="J264">
            <v>8546</v>
          </cell>
          <cell r="K264">
            <v>51216</v>
          </cell>
          <cell r="L264">
            <v>47859</v>
          </cell>
          <cell r="M264">
            <v>2.3791783817557013</v>
          </cell>
          <cell r="N264">
            <v>0</v>
          </cell>
          <cell r="P264">
            <v>130398</v>
          </cell>
          <cell r="Q264">
            <v>8546</v>
          </cell>
          <cell r="R264">
            <v>0.84325226174848189</v>
          </cell>
        </row>
        <row r="265">
          <cell r="A265" t="str">
            <v>Salem Polk</v>
          </cell>
          <cell r="B265" t="str">
            <v>Polk County (part), Salem city</v>
          </cell>
          <cell r="D265">
            <v>23576.756435826741</v>
          </cell>
          <cell r="F265">
            <v>53</v>
          </cell>
          <cell r="G265" t="str">
            <v>Polk County (part), Salem city</v>
          </cell>
          <cell r="H265">
            <v>24239</v>
          </cell>
          <cell r="I265">
            <v>24150</v>
          </cell>
          <cell r="J265">
            <v>89</v>
          </cell>
          <cell r="K265">
            <v>10060</v>
          </cell>
          <cell r="L265">
            <v>9431</v>
          </cell>
          <cell r="M265">
            <v>2.4005964214711728</v>
          </cell>
          <cell r="N265">
            <v>0</v>
          </cell>
          <cell r="P265">
            <v>24239</v>
          </cell>
          <cell r="Q265">
            <v>89</v>
          </cell>
          <cell r="R265">
            <v>0.15674773825151811</v>
          </cell>
        </row>
        <row r="266">
          <cell r="A266" t="str">
            <v>Tualatin Clackamas</v>
          </cell>
          <cell r="B266" t="str">
            <v>Clackamas County (part), Tualatin city</v>
          </cell>
          <cell r="D266">
            <v>3061.25</v>
          </cell>
          <cell r="F266">
            <v>5</v>
          </cell>
          <cell r="G266" t="str">
            <v>Clackamas County (part), Tualatin city</v>
          </cell>
          <cell r="H266">
            <v>2862</v>
          </cell>
          <cell r="I266">
            <v>2862</v>
          </cell>
          <cell r="J266">
            <v>0</v>
          </cell>
          <cell r="K266">
            <v>1162</v>
          </cell>
          <cell r="L266">
            <v>1083</v>
          </cell>
          <cell r="M266">
            <v>2.4629948364888126</v>
          </cell>
          <cell r="N266">
            <v>0</v>
          </cell>
          <cell r="P266">
            <v>2869.3889845094664</v>
          </cell>
          <cell r="Q266">
            <v>7.3889845094663542</v>
          </cell>
          <cell r="R266">
            <v>0.11010115332743746</v>
          </cell>
        </row>
        <row r="267">
          <cell r="A267" t="str">
            <v>Tualatin Washington</v>
          </cell>
          <cell r="B267" t="str">
            <v>Washington County (part), Tualatin city</v>
          </cell>
          <cell r="D267">
            <v>23098.75</v>
          </cell>
          <cell r="F267">
            <v>67</v>
          </cell>
          <cell r="G267" t="str">
            <v>Washington County (part), Tualatin city</v>
          </cell>
          <cell r="H267">
            <v>23192</v>
          </cell>
          <cell r="I267">
            <v>23105</v>
          </cell>
          <cell r="J267">
            <v>87</v>
          </cell>
          <cell r="K267">
            <v>9366</v>
          </cell>
          <cell r="L267">
            <v>8917</v>
          </cell>
          <cell r="M267">
            <v>2.46690155882981</v>
          </cell>
          <cell r="N267">
            <v>0</v>
          </cell>
          <cell r="P267">
            <v>23192</v>
          </cell>
          <cell r="Q267">
            <v>87</v>
          </cell>
          <cell r="R267">
            <v>0.88989884667256258</v>
          </cell>
        </row>
        <row r="268">
          <cell r="A268" t="str">
            <v>Willamina Polk</v>
          </cell>
          <cell r="B268" t="str">
            <v>Polk County (part), Willamina city</v>
          </cell>
          <cell r="D268">
            <v>720</v>
          </cell>
          <cell r="F268">
            <v>53</v>
          </cell>
          <cell r="G268" t="str">
            <v>Polk County (part), Willamina city</v>
          </cell>
          <cell r="H268">
            <v>845</v>
          </cell>
          <cell r="I268">
            <v>845</v>
          </cell>
          <cell r="J268">
            <v>0</v>
          </cell>
          <cell r="K268">
            <v>338</v>
          </cell>
          <cell r="L268">
            <v>303</v>
          </cell>
          <cell r="M268">
            <v>2.5</v>
          </cell>
          <cell r="N268">
            <v>0</v>
          </cell>
          <cell r="P268">
            <v>845</v>
          </cell>
          <cell r="Q268">
            <v>0</v>
          </cell>
          <cell r="R268">
            <v>0.41728395061728396</v>
          </cell>
        </row>
        <row r="269">
          <cell r="A269" t="str">
            <v>Willamina Yamhill</v>
          </cell>
          <cell r="B269" t="str">
            <v>Yamhill County (part), Willamina city</v>
          </cell>
          <cell r="D269">
            <v>1165.3065527065528</v>
          </cell>
          <cell r="F269">
            <v>71</v>
          </cell>
          <cell r="G269" t="str">
            <v>Yamhill County (part), Willamina city</v>
          </cell>
          <cell r="H269">
            <v>1180</v>
          </cell>
          <cell r="I269">
            <v>1169</v>
          </cell>
          <cell r="J269">
            <v>11</v>
          </cell>
          <cell r="K269">
            <v>439</v>
          </cell>
          <cell r="L269">
            <v>395</v>
          </cell>
          <cell r="M269">
            <v>2.6628701594533029</v>
          </cell>
          <cell r="N269">
            <v>0</v>
          </cell>
          <cell r="P269">
            <v>1180</v>
          </cell>
          <cell r="Q269">
            <v>11</v>
          </cell>
          <cell r="R269">
            <v>0.58271604938271604</v>
          </cell>
        </row>
        <row r="270">
          <cell r="A270" t="str">
            <v>Wilsonville Clackamas</v>
          </cell>
          <cell r="B270" t="str">
            <v>Clackamas County (part), Wilsonville city</v>
          </cell>
          <cell r="D270">
            <v>16433.111820199778</v>
          </cell>
          <cell r="F270">
            <v>5</v>
          </cell>
          <cell r="G270" t="str">
            <v>Clackamas County (part), Wilsonville city</v>
          </cell>
          <cell r="H270">
            <v>17371</v>
          </cell>
          <cell r="I270">
            <v>17323</v>
          </cell>
          <cell r="J270">
            <v>48</v>
          </cell>
          <cell r="K270">
            <v>8152</v>
          </cell>
          <cell r="L270">
            <v>7537</v>
          </cell>
          <cell r="M270">
            <v>2.125</v>
          </cell>
          <cell r="N270">
            <v>0</v>
          </cell>
          <cell r="P270">
            <v>17371</v>
          </cell>
          <cell r="Q270">
            <v>48</v>
          </cell>
          <cell r="R270">
            <v>0.89040955456455995</v>
          </cell>
        </row>
        <row r="271">
          <cell r="A271" t="str">
            <v>Wilsonville Washington</v>
          </cell>
          <cell r="B271" t="str">
            <v>Washington County (part), Wilsonville city</v>
          </cell>
          <cell r="D271">
            <v>1661.8881798002221</v>
          </cell>
          <cell r="F271">
            <v>67</v>
          </cell>
          <cell r="G271" t="str">
            <v>Washington County (part), Wilsonville city</v>
          </cell>
          <cell r="H271">
            <v>2138</v>
          </cell>
          <cell r="I271">
            <v>590</v>
          </cell>
          <cell r="J271">
            <v>1548</v>
          </cell>
          <cell r="K271">
            <v>335</v>
          </cell>
          <cell r="L271">
            <v>322</v>
          </cell>
          <cell r="M271">
            <v>1.7611940298507462</v>
          </cell>
          <cell r="N271">
            <v>0</v>
          </cell>
          <cell r="O271">
            <v>0</v>
          </cell>
          <cell r="P271">
            <v>2138</v>
          </cell>
          <cell r="Q271">
            <v>1548</v>
          </cell>
          <cell r="R271">
            <v>0.10959044543544005</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Properties"/>
      <sheetName val="Space Type Matching"/>
      <sheetName val="Grid Mix + GHG Factors"/>
      <sheetName val="Fuel Mix"/>
      <sheetName val="Fuel Mix Boulder"/>
      <sheetName val="Area Charts"/>
      <sheetName val="Energy Charts"/>
      <sheetName val="Emissions Charts"/>
      <sheetName val="Population Projection"/>
      <sheetName val="Area Projection"/>
      <sheetName val="Energy Projection"/>
      <sheetName val="Emissions Projection"/>
      <sheetName val="Use Type Area"/>
      <sheetName val="Use Type Energy"/>
      <sheetName val="Use Type Emissions"/>
      <sheetName val="Instructions + Key"/>
      <sheetName val="Demo Permits No Duplicates"/>
      <sheetName val="Demo Pivot No Duplicates"/>
      <sheetName val="Sales Records No Duplicates"/>
      <sheetName val="Sales Pivot No Duplicates"/>
      <sheetName val="Disclosure Fuel Mix"/>
      <sheetName val="Disclosure Data"/>
      <sheetName val="Disclosure EUI Averages"/>
      <sheetName val="Community Report Fuel Mix"/>
      <sheetName val="&gt; 50K EUI Targets"/>
      <sheetName val="&lt;50K EUI Targets COM"/>
      <sheetName val="&lt;50K EUI Targets SFR"/>
      <sheetName val="Forecasted GHG Emissions"/>
      <sheetName val="% Electrification"/>
    </sheetNames>
    <sheetDataSet>
      <sheetData sheetId="0"/>
      <sheetData sheetId="1"/>
      <sheetData sheetId="2">
        <row r="6">
          <cell r="C6">
            <v>5.3069999999999999E-2</v>
          </cell>
        </row>
      </sheetData>
      <sheetData sheetId="3"/>
      <sheetData sheetId="4">
        <row r="2">
          <cell r="C2">
            <v>0.70684236187502525</v>
          </cell>
        </row>
      </sheetData>
      <sheetData sheetId="5">
        <row r="56">
          <cell r="C56">
            <v>54677820</v>
          </cell>
        </row>
      </sheetData>
      <sheetData sheetId="6">
        <row r="95">
          <cell r="C95">
            <v>2102812.184400138</v>
          </cell>
        </row>
      </sheetData>
      <sheetData sheetId="7"/>
      <sheetData sheetId="8">
        <row r="2">
          <cell r="C2">
            <v>1980</v>
          </cell>
        </row>
      </sheetData>
      <sheetData sheetId="9">
        <row r="1">
          <cell r="C1">
            <v>2017</v>
          </cell>
        </row>
      </sheetData>
      <sheetData sheetId="10">
        <row r="1">
          <cell r="C1">
            <v>2017</v>
          </cell>
        </row>
      </sheetData>
      <sheetData sheetId="11">
        <row r="1">
          <cell r="C1">
            <v>2017</v>
          </cell>
        </row>
      </sheetData>
      <sheetData sheetId="12"/>
      <sheetData sheetId="13"/>
      <sheetData sheetId="14"/>
      <sheetData sheetId="15"/>
      <sheetData sheetId="16"/>
      <sheetData sheetId="17">
        <row r="5">
          <cell r="V5">
            <v>40.5</v>
          </cell>
        </row>
      </sheetData>
      <sheetData sheetId="18"/>
      <sheetData sheetId="19">
        <row r="5">
          <cell r="K5">
            <v>3183988.4285714286</v>
          </cell>
        </row>
      </sheetData>
      <sheetData sheetId="20"/>
      <sheetData sheetId="21"/>
      <sheetData sheetId="22"/>
      <sheetData sheetId="23"/>
      <sheetData sheetId="24">
        <row r="63">
          <cell r="C63">
            <v>105</v>
          </cell>
        </row>
      </sheetData>
      <sheetData sheetId="25">
        <row r="23">
          <cell r="AD23">
            <v>38.808</v>
          </cell>
        </row>
      </sheetData>
      <sheetData sheetId="26">
        <row r="23">
          <cell r="AD23">
            <v>18.8125</v>
          </cell>
        </row>
        <row r="170">
          <cell r="B170">
            <v>7.0493424036281184E-4</v>
          </cell>
        </row>
        <row r="171">
          <cell r="B171" t="e">
            <v>#NAME?</v>
          </cell>
        </row>
      </sheetData>
      <sheetData sheetId="27">
        <row r="18">
          <cell r="C18">
            <v>0.1850212535189926</v>
          </cell>
        </row>
      </sheetData>
      <sheetData sheetId="28">
        <row r="404">
          <cell r="O404">
            <v>1.95E-2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ce Type Matching"/>
      <sheetName val="Boulder-SpaceTypeMatching"/>
    </sheetNames>
    <sheetDataSet>
      <sheetData sheetId="0">
        <row r="2">
          <cell r="I2" t="str">
            <v>AdultEducation</v>
          </cell>
        </row>
        <row r="3">
          <cell r="I3" t="str">
            <v>AmbulatorySurgicalCenter</v>
          </cell>
        </row>
        <row r="4">
          <cell r="I4" t="str">
            <v>Aquarium</v>
          </cell>
        </row>
        <row r="5">
          <cell r="I5" t="str">
            <v>AutoDealership</v>
          </cell>
        </row>
        <row r="6">
          <cell r="I6" t="str">
            <v>BankBranch</v>
          </cell>
        </row>
        <row r="7">
          <cell r="I7" t="str">
            <v>Bar</v>
          </cell>
        </row>
        <row r="8">
          <cell r="I8" t="str">
            <v>Barracks</v>
          </cell>
        </row>
        <row r="9">
          <cell r="I9" t="str">
            <v>BowlingAlley</v>
          </cell>
        </row>
        <row r="10">
          <cell r="I10" t="str">
            <v>Casino</v>
          </cell>
        </row>
        <row r="11">
          <cell r="I11" t="str">
            <v>College</v>
          </cell>
        </row>
        <row r="12">
          <cell r="I12" t="str">
            <v>ConvenienceStore</v>
          </cell>
        </row>
        <row r="13">
          <cell r="I13" t="str">
            <v>ConvenienceStoreAndGas</v>
          </cell>
        </row>
        <row r="14">
          <cell r="I14" t="str">
            <v>ConventionCenter</v>
          </cell>
        </row>
        <row r="15">
          <cell r="I15" t="str">
            <v>Courthouse</v>
          </cell>
        </row>
        <row r="16">
          <cell r="I16" t="str">
            <v>DataCenter</v>
          </cell>
        </row>
        <row r="17">
          <cell r="I17" t="str">
            <v>DistributionCenter</v>
          </cell>
        </row>
        <row r="18">
          <cell r="I18" t="str">
            <v>DrinkingWaterTreatment</v>
          </cell>
        </row>
        <row r="19">
          <cell r="I19" t="str">
            <v>EnclosedMall</v>
          </cell>
        </row>
        <row r="20">
          <cell r="I20" t="str">
            <v>EnergyStation</v>
          </cell>
        </row>
        <row r="21">
          <cell r="I21" t="str">
            <v>FastFoodRestaurant</v>
          </cell>
        </row>
        <row r="22">
          <cell r="I22" t="str">
            <v>FinancialOffice</v>
          </cell>
        </row>
        <row r="23">
          <cell r="I23" t="str">
            <v>FireStation</v>
          </cell>
        </row>
        <row r="24">
          <cell r="I24" t="str">
            <v>FitnessCenter</v>
          </cell>
        </row>
        <row r="25">
          <cell r="I25" t="str">
            <v>FoodSales</v>
          </cell>
        </row>
        <row r="26">
          <cell r="I26" t="str">
            <v>FoodService</v>
          </cell>
        </row>
        <row r="27">
          <cell r="I27" t="str">
            <v>Hospital</v>
          </cell>
        </row>
        <row r="28">
          <cell r="I28" t="str">
            <v>Hotel</v>
          </cell>
        </row>
        <row r="29">
          <cell r="I29" t="str">
            <v>IceRink</v>
          </cell>
        </row>
        <row r="30">
          <cell r="I30" t="str">
            <v>IndoorArena</v>
          </cell>
        </row>
        <row r="31">
          <cell r="I31" t="str">
            <v>K12School</v>
          </cell>
        </row>
        <row r="32">
          <cell r="I32" t="str">
            <v>Library</v>
          </cell>
        </row>
        <row r="33">
          <cell r="I33" t="str">
            <v>MedicalOffice</v>
          </cell>
        </row>
        <row r="34">
          <cell r="I34" t="str">
            <v>MeetingHall</v>
          </cell>
        </row>
        <row r="35">
          <cell r="I35" t="str">
            <v>MobileHome</v>
          </cell>
        </row>
        <row r="36">
          <cell r="I36" t="str">
            <v>MovieTheater</v>
          </cell>
        </row>
        <row r="37">
          <cell r="I37" t="str">
            <v>MultiFamily</v>
          </cell>
        </row>
        <row r="38">
          <cell r="I38" t="str">
            <v>Museum</v>
          </cell>
        </row>
        <row r="39">
          <cell r="I39" t="str">
            <v>Nightclub</v>
          </cell>
        </row>
        <row r="40">
          <cell r="I40" t="str">
            <v>Office</v>
          </cell>
        </row>
        <row r="41">
          <cell r="I41" t="str">
            <v>Other</v>
          </cell>
        </row>
        <row r="42">
          <cell r="I42" t="str">
            <v>OtherEducation</v>
          </cell>
        </row>
        <row r="43">
          <cell r="I43" t="str">
            <v>OtherEntertainment</v>
          </cell>
        </row>
        <row r="44">
          <cell r="I44" t="str">
            <v>OtherPublicServices</v>
          </cell>
        </row>
        <row r="45">
          <cell r="I45" t="str">
            <v>OtherRecreation</v>
          </cell>
        </row>
        <row r="46">
          <cell r="I46" t="str">
            <v>OtherResidentialLodging</v>
          </cell>
        </row>
        <row r="47">
          <cell r="I47" t="str">
            <v>OtherServices</v>
          </cell>
        </row>
        <row r="48">
          <cell r="I48" t="str">
            <v>OtherUtility</v>
          </cell>
        </row>
        <row r="49">
          <cell r="I49" t="str">
            <v>OutpatientCenter</v>
          </cell>
        </row>
        <row r="50">
          <cell r="I50" t="str">
            <v>PerformingArts</v>
          </cell>
        </row>
        <row r="51">
          <cell r="I51" t="str">
            <v>PersonalServices</v>
          </cell>
        </row>
        <row r="52">
          <cell r="I52" t="str">
            <v>PhysicalTherapyCenter</v>
          </cell>
        </row>
        <row r="53">
          <cell r="I53" t="str">
            <v>PoliceStation</v>
          </cell>
        </row>
        <row r="54">
          <cell r="I54" t="str">
            <v>PostOffice</v>
          </cell>
        </row>
        <row r="55">
          <cell r="I55" t="str">
            <v>PreSchool</v>
          </cell>
        </row>
        <row r="56">
          <cell r="I56" t="str">
            <v>Prison</v>
          </cell>
        </row>
        <row r="57">
          <cell r="I57" t="str">
            <v>RaceTrack</v>
          </cell>
        </row>
        <row r="58">
          <cell r="I58" t="str">
            <v>RepairServices</v>
          </cell>
        </row>
        <row r="59">
          <cell r="I59" t="str">
            <v>ResidenceHall</v>
          </cell>
        </row>
        <row r="60">
          <cell r="I60" t="str">
            <v>Restaurant</v>
          </cell>
        </row>
        <row r="61">
          <cell r="I61" t="str">
            <v>Retail</v>
          </cell>
        </row>
        <row r="62">
          <cell r="I62" t="str">
            <v>RollerRink</v>
          </cell>
        </row>
        <row r="63">
          <cell r="I63" t="str">
            <v>SelfStorageFacility</v>
          </cell>
        </row>
        <row r="64">
          <cell r="I64" t="str">
            <v>SeniorCare</v>
          </cell>
        </row>
        <row r="65">
          <cell r="I65" t="str">
            <v>SingleFamilyAttached</v>
          </cell>
        </row>
        <row r="66">
          <cell r="I66" t="str">
            <v>SingleFamilyDetached</v>
          </cell>
        </row>
        <row r="67">
          <cell r="I67" t="str">
            <v>SpecialtyHospital</v>
          </cell>
        </row>
        <row r="68">
          <cell r="I68" t="str">
            <v>Stadium</v>
          </cell>
        </row>
        <row r="69">
          <cell r="I69" t="str">
            <v>StripMall</v>
          </cell>
        </row>
        <row r="70">
          <cell r="I70" t="str">
            <v>Supermarket</v>
          </cell>
        </row>
        <row r="71">
          <cell r="I71" t="str">
            <v>SwimmingPool</v>
          </cell>
        </row>
        <row r="72">
          <cell r="I72" t="str">
            <v>TransportationTerminal</v>
          </cell>
        </row>
        <row r="73">
          <cell r="I73" t="str">
            <v>UrgentCareCenter</v>
          </cell>
        </row>
        <row r="74">
          <cell r="I74" t="str">
            <v>VeterinaryOffice</v>
          </cell>
        </row>
        <row r="75">
          <cell r="I75" t="str">
            <v>VocationalSchool</v>
          </cell>
        </row>
        <row r="76">
          <cell r="I76" t="str">
            <v>WarehouseRefrigerated</v>
          </cell>
        </row>
        <row r="77">
          <cell r="I77" t="str">
            <v>WarehouseUnRefrigerated</v>
          </cell>
        </row>
        <row r="78">
          <cell r="I78" t="str">
            <v>WastewaterCenter</v>
          </cell>
        </row>
        <row r="79">
          <cell r="I79" t="str">
            <v>WholesaleClub</v>
          </cell>
        </row>
        <row r="80">
          <cell r="I80" t="str">
            <v>WorshipCenter</v>
          </cell>
        </row>
        <row r="81">
          <cell r="I81" t="str">
            <v>Zoo</v>
          </cell>
        </row>
        <row r="82">
          <cell r="I82" t="str">
            <v>OMIT</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Aaron Toneys" id="{C470A4F9-3F46-974B-8708-12F9AB9CA16E}" userId="S::aaron.toneys@goodcompany.com::391e6a75-3084-48a5-913b-b173c406333d" providerId="AD"/>
  <person displayName="Aaron Toneys" id="{4269B8C0-E6A0-B940-80D3-7993C834E96F}" userId="S::aaron.toneys@goodcompany.com::b6b764c8-ee92-4504-9618-ff853b98270f" providerId="AD"/>
  <person displayName="Diesner, Kyle" id="{7F20DCE9-FE31-4599-AF0F-298BC4F5E6AB}" userId="S::Kyle.Diesner@portlandoregon.gov::d0fdbbb3-095b-484b-a55f-14c28acdb7d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DACEE50-0F71-474D-BB70-D08A0368B1DE}" name="Table3" displayName="Table3" ref="B45:C52" totalsRowShown="0" headerRowDxfId="33" dataDxfId="32">
  <tableColumns count="2">
    <tableColumn id="1" xr3:uid="{6B1C6614-9959-184F-96DB-340DCD2E0789}" name="Worksheet" dataDxfId="31"/>
    <tableColumn id="2" xr3:uid="{9810904B-6A25-B04B-9CFF-3A1590E6D923}" name="Description" dataDxfId="3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74" dT="2020-06-18T15:47:35.86" personId="{4269B8C0-E6A0-B940-80D3-7993C834E96F}" id="{9B82FAC6-278F-E346-AC72-C7E369E501A7}">
    <text>2030 values is larger than 2050 in the tool. Becuase the difference is small in scale and to greatly simplify calculations - both values are set equal to the lower value = 2050.</text>
  </threadedComment>
</ThreadedComments>
</file>

<file path=xl/threadedComments/threadedComment2.xml><?xml version="1.0" encoding="utf-8"?>
<ThreadedComments xmlns="http://schemas.microsoft.com/office/spreadsheetml/2018/threadedcomments" xmlns:x="http://schemas.openxmlformats.org/spreadsheetml/2006/main">
  <threadedComment ref="B28" dT="2020-11-11T21:06:01.70" personId="{C470A4F9-3F46-974B-8708-12F9AB9CA16E}" id="{110C88E5-9C3E-9C4A-9F10-52FF0B79E76D}">
    <text>Values here from Portland / MC’s 2017 GHG Inventory. See Portland GHGs worksheet.</text>
  </threadedComment>
</ThreadedComments>
</file>

<file path=xl/threadedComments/threadedComment3.xml><?xml version="1.0" encoding="utf-8"?>
<ThreadedComments xmlns="http://schemas.microsoft.com/office/spreadsheetml/2018/threadedcomments" xmlns:x="http://schemas.openxmlformats.org/spreadsheetml/2006/main">
  <threadedComment ref="C2" dT="2020-08-05T17:50:18.93" personId="{C470A4F9-3F46-974B-8708-12F9AB9CA16E}" id="{00C94304-DE65-924F-8108-5F74092C96A1}">
    <text xml:space="preserve">The values in column C and F, (light grey cells with black boarders), may be updated as appropriate for each Climate Strategy. 
Values may be changed for two time periods, 2020 - 2030 and 2030 - 2050. The values for the two time periods are additive with the total reduction (2020 - 2050) shown in column I. 
Some strategies have a limit, based on best currently available information, for the amount of implementation that may be achieved during the given time period. These limits are shown the columns E (2020 - 2030) and columns H (2030 - 2050). If the user input exceeds these limits the cell with highlight RED indicating that the inputs need to be adjusted to within the states limites. </text>
  </threadedComment>
  <threadedComment ref="I4" dT="2020-09-02T21:38:10.66" personId="{C470A4F9-3F46-974B-8708-12F9AB9CA16E}" id="{23BD65C3-A1E9-7540-BF4D-49892D726310}">
    <text>Total Input % cannot exceed the 2050 maximum shown in column H. If the maximum is exceeded the cells in this row will highlighted in red. To remove the red - adjust the inputs to values that total less than the 2050 maximum.</text>
  </threadedComment>
  <threadedComment ref="J6" dT="2020-08-05T17:22:55.25" personId="{C470A4F9-3F46-974B-8708-12F9AB9CA16E}" id="{9E9E37AA-01BF-4B4D-82AE-9C9088526E72}">
    <text xml:space="preserve">Includes reductions from utility integrated resource plans and energy efficiency from new construction consistent with ASHREA 90.1. Average annual growth rate (AAGR) used in Portland Buildings Analysis Tool is 1.3% for the period 2020 - 2050. </text>
  </threadedComment>
  <threadedComment ref="J8" dT="2020-08-05T19:16:40.56" personId="{C470A4F9-3F46-974B-8708-12F9AB9CA16E}" id="{4D2D9A1D-730D-2C44-91E1-4B0850BDC012}">
    <text>Emissions reductions are based on the results from the Architecture 2030’s Portland Buildings Analysis by selecting “% GHG Reduced” for all single family and all multi-family properties. The tool assumes a maximum reduction of 25% by 2030 and and additional 25% by 2050 for a maximum total reduction of 50% between 2020 and 2050.</text>
  </threadedComment>
  <threadedComment ref="J10" dT="2020-08-05T19:16:40.56" personId="{C470A4F9-3F46-974B-8708-12F9AB9CA16E}" id="{E84D6830-C49B-AB4F-BBC5-9A8823D11314}">
    <text>Emissions reductions are based on the results from the Architecture 2030’s Portland Buildings Analysis by selecting “% GHG Reduced” for commercial properties. The tool assumes a maximum reduction of 25% by 2030 and and additional 25% by 2050 for a maximum total reduction of 50% between 2020 and 2050.</text>
  </threadedComment>
  <threadedComment ref="J12" dT="2020-08-05T19:16:40.56" personId="{C470A4F9-3F46-974B-8708-12F9AB9CA16E}" id="{77809641-4A5A-F346-842E-49EF2B2FD243}">
    <text>R + C = Residential and Commercial Building Sectors
Emissions reductions are based on the results from the Architecture 2030’s Portland Buildings Analysis by selecting “% GHG Reduced” for all new residential and commercial construction between 2020 and 2050. The maximum total reduction for this strategy is 50% by 2050. This wedge is meant to illustrate benefits of various code options.</text>
  </threadedComment>
  <threadedComment ref="D14" dT="2020-07-24T17:22:47.81" personId="{C470A4F9-3F46-974B-8708-12F9AB9CA16E}" id="{F0961A6F-3103-0343-96C9-59DAE2FA2665}">
    <text>2030 Minimum based on existing utility IRPs.</text>
  </threadedComment>
  <threadedComment ref="E14" dT="2020-07-24T17:24:06.28" personId="{C470A4F9-3F46-974B-8708-12F9AB9CA16E}" id="{82A5186B-EF6D-CC4C-9554-B1B7D98474F7}">
    <text>2030 maximum based on Portland’s goal of 100% renewable electricity by 2035.</text>
  </threadedComment>
  <threadedComment ref="G14" dT="2020-07-24T17:22:47.81" personId="{C470A4F9-3F46-974B-8708-12F9AB9CA16E}" id="{4B24A819-8F2B-2742-AC67-A3092CF59DA3}">
    <text>2050 maximum based on existing utility IRPs.</text>
  </threadedComment>
  <threadedComment ref="H14" dT="2020-07-24T17:24:06.28" personId="{C470A4F9-3F46-974B-8708-12F9AB9CA16E}" id="{7B8C4AA7-D6A2-D942-A5C7-B9F797901984}">
    <text>2050 maximum based on Portland’s goal of 100% renewable electricity by 2035.</text>
  </threadedComment>
  <threadedComment ref="J14" dT="2020-08-05T19:31:43.27" personId="{C470A4F9-3F46-974B-8708-12F9AB9CA16E}" id="{3AA49E57-1ADC-EB46-9E46-22ED3CC96E85}">
    <text xml:space="preserve">Emissions reductions are based on the results from the Architecture 2030’s Portland Buildings Analysis Tool set to equal the benefits for 100% renewable electricity by 2030 (based on Portland’s Climate Emergency resolution. Note that at a minimum, existing electric utility Integrated Resource Plans (IRP) indicate 72% renewable electricity in 2050 without additional action. Note that utility IRP’s indicate anticipated reductions greater than Oregon current renewable portfolio standard requirements. </text>
  </threadedComment>
  <threadedComment ref="J16" dT="2020-08-05T19:33:54.19" personId="{C470A4F9-3F46-974B-8708-12F9AB9CA16E}" id="{2DCD5371-F20E-9248-9A44-DB8EC766909E}">
    <text xml:space="preserve">Emissions reductions are based on the results from the Architecture 2030’s Portland Buildings Analysis Tool for Gas GHG Factor set to “RNG”. This setting assumes a maximum of a 30% emissions reduction based on information from Northwest Natural’s 2018 integrated Resource Plan. </text>
  </threadedComment>
  <threadedComment ref="J18" dT="2020-11-18T00:12:39.16" personId="{7F20DCE9-FE31-4599-AF0F-298BC4F5E6AB}" id="{73F6B3E5-CC8C-4A3C-BEB5-07F1E675F99D}">
    <text>Electrified homes are heated and powered by renewable electricity instead of onsite fossil fuel use, for example, natural gas, propane or fuel oil. Emissions reductions are based on the modeled natural gas usage from Architecture 2030’s Portland Buildings Analysis Tool for all existing single family and multi-family homes</text>
  </threadedComment>
  <threadedComment ref="J20" dT="2020-11-18T00:13:16.49" personId="{7F20DCE9-FE31-4599-AF0F-298BC4F5E6AB}" id="{215EF8F2-08DF-42DD-91A7-0615E30B08EB}">
    <text>Electrified buildings are heated and powered by renewable electricity instead of onsite fossil fuel use, for example, natural gas, propane or fuel oil. Emissions reductions are based on the modeled natural gas usage from Architecture 2030’s Portland Buildings Analysis Tool for all existing commercial buildings.</text>
  </threadedComment>
  <threadedComment ref="J22" dT="2020-08-05T19:33:54.19" personId="{C470A4F9-3F46-974B-8708-12F9AB9CA16E}" id="{C75D07CA-8A19-EE44-ACFA-78F2F2806B2B}">
    <text xml:space="preserve">R + C = Residential and Commercial Building Sectors
Reductions calculation using Architechture 2030’s Portland Buildings Analysis Tool. These GHG reductions are equal to forecast natural gas use for future residential and commercial construction. </text>
  </threadedComment>
  <threadedComment ref="B24" dT="2021-05-20T18:19:28.04" personId="{C470A4F9-3F46-974B-8708-12F9AB9CA16E}" id="{7FE2FEA7-13C6-BA48-86C4-29A7DEC1F1B6}">
    <text>Includes industrial natural gas consumption + transport gas customers</text>
  </threadedComment>
  <threadedComment ref="J24" dT="2022-04-06T21:57:51.85" personId="{C470A4F9-3F46-974B-8708-12F9AB9CA16E}" id="{F249A0C0-D606-9D4A-818D-AE66BD7B4076}">
    <text>Emissions reductions are equal to 2017 Portland community emissions for industrial natural gas (minus RNG reductions) and other industrial fuels (propane, diesel, etc.)</text>
  </threadedComment>
  <threadedComment ref="J30" dT="2020-09-08T15:53:59.29" personId="{C470A4F9-3F46-974B-8708-12F9AB9CA16E}" id="{B35593CE-E75E-D44C-AE61-2D79D49E1F5A}">
    <text>Reductions are based on 100% of passenger vehicle gasoline emissions from Portland’s 2017 community GHG inventory minus reductions already included in the Transportation Baseline and Policy Scenario. 
Reductions for this action assume electricity as likely replacement and therefore increase or decrease proportionately with the settings for Renewable Electricity Supply.</text>
  </threadedComment>
  <threadedComment ref="C32" dT="2020-09-09T16:44:12.75" personId="{C470A4F9-3F46-974B-8708-12F9AB9CA16E}" id="{697A7BE1-9123-B746-B7C8-0176580D80E9}">
    <text>User may input a value of between 0 - 100%, but may not exceed a Total of 100% between the 2030 and 2050 input.</text>
  </threadedComment>
  <threadedComment ref="F32" dT="2020-09-09T16:44:12.75" personId="{C470A4F9-3F46-974B-8708-12F9AB9CA16E}" id="{48A2B48A-988F-A042-B999-6FCCA0FBF74E}">
    <text>User may input a value of between 0 - 100%, but may not exceed a Total of 100% between the 2030 and 2050 input.</text>
  </threadedComment>
  <threadedComment ref="J32" dT="2020-09-08T15:53:59.29" personId="{C470A4F9-3F46-974B-8708-12F9AB9CA16E}" id="{E79AA29D-D606-9643-B18F-185695F135C4}">
    <text>Reductions are based on 100% of commercial vehicle gasoline emissions from Portland’s 2017 community GHG inventory minus reductions already included in the Transportation Baseline. Reductions for this action increase or decrease proportionately with the settings for Renewable Electricity Supply.</text>
  </threadedComment>
  <threadedComment ref="J34" dT="2020-09-08T15:53:59.29" personId="{C470A4F9-3F46-974B-8708-12F9AB9CA16E}" id="{0B545559-E04D-814F-AE32-A43EBDA93903}">
    <text xml:space="preserve">Reductions are based on 100% of diesel emissions from Portland’s 2017 community GHG inventory minus reductions already included in the Transportation Baseline and the selected Policy Scenario. </text>
  </threadedComment>
  <threadedComment ref="J36" dT="2020-09-08T15:58:01.32" personId="{C470A4F9-3F46-974B-8708-12F9AB9CA16E}" id="{228AA3BA-71C8-F54C-B08B-8F5716A940D9}">
    <text xml:space="preserve">Carbon sequestration potential for Multnomah County is provided by the US Forest Service iTree benefits calculator, which provides existing c-sequestration per acre and additional acres of plantable land. </text>
  </threadedComment>
  <threadedComment ref="C42" dT="2020-08-05T17:50:18.93" personId="{C470A4F9-3F46-974B-8708-12F9AB9CA16E}" id="{4F05F9A7-4097-8A4F-9CD1-CAB14864164D}">
    <text xml:space="preserve">The following table provides sense-of-scale data to illistrate the scale of action required for a given strategy to achieve the setting input in the table above. For example, the number of homes that would need to be retrofit in order to achieve energy efficiency savings. 
The following table also provides a simple means to scale the cost to of various actions to support equity policies. The user may unter a per unit cost to estimate the total capital required to support low-income households to make the transition for these strategies. See the grey cells with black boarders. Proxy values are included, but these values should be updated by local experts. </text>
  </threadedComment>
  <threadedComment ref="J51" dT="2020-09-09T15:40:39.31" personId="{C470A4F9-3F46-974B-8708-12F9AB9CA16E}" id="{C6238AED-854A-754D-8D92-73C8C05BC45B}">
    <text xml:space="preserve">Proxy cost entered in row 52 is based on the average Oregon cost for a weatherization retrofit based on data from Oregon Housing and Community Services. For details visit https://olis.leg.state.or.us/liz/2019R1/Downloads/CommitteeMeetingDocument/170708. This value should be updated by local experts to reflect local conditions. </text>
  </threadedComment>
  <threadedComment ref="J63" dT="2020-09-09T15:43:22.31" personId="{C470A4F9-3F46-974B-8708-12F9AB9CA16E}" id="{372D046C-B9AB-0241-8343-8D21DF5D8954}">
    <text xml:space="preserve">Proxy cost values based on average installation costs for a two-head heat pump added to an existing natural gas system. No weatherization costs assumed. This value should be updated by local experts to reflect local conditions. </text>
  </threadedComment>
  <threadedComment ref="J76" dT="2020-09-09T15:45:56.78" personId="{C470A4F9-3F46-974B-8708-12F9AB9CA16E}" id="{79084FA6-AEA0-F24A-8244-F94BAD6500E1}">
    <text xml:space="preserve">Proxy values in row 87 are rough values assuming a $10,000 premium for a new battery electric sedan combined with a combination of available State and Federall tax credits. This cost will vary widely depending on specific circumstances (e.g. new or used vehicle; Federal tax credit available, etc.). This value is intended to represent a rough marginal cost per electric vehicle. </text>
  </threadedComment>
</ThreadedComments>
</file>

<file path=xl/threadedComments/threadedComment4.xml><?xml version="1.0" encoding="utf-8"?>
<ThreadedComments xmlns="http://schemas.microsoft.com/office/spreadsheetml/2018/threadedcomments" xmlns:x="http://schemas.openxmlformats.org/spreadsheetml/2006/main">
  <threadedComment ref="B7" dT="2020-06-12T05:44:54.95" personId="{4269B8C0-E6A0-B940-80D3-7993C834E96F}" id="{147E5C38-7D83-2B47-B770-C36CA0B89F35}">
    <text xml:space="preserve">1990 values are unavailable from any State agency or utility. Proxy values for utility-specific 1990 emissions are calculated using 1990 emissions values using the regional grid average multiplied by an average utility specific / regional ratio value calculated using available data years, 2005 - 2017 </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Kyle.Diesner@portlandoregon.gov" TargetMode="External"/><Relationship Id="rId1" Type="http://schemas.openxmlformats.org/officeDocument/2006/relationships/hyperlink" Target="mailto:aaron.toneys@goodcompany.com"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enviroatlas.epa.gov/enviroatlas/interactivemap/" TargetMode="External"/><Relationship Id="rId1" Type="http://schemas.openxmlformats.org/officeDocument/2006/relationships/hyperlink" Target="https://landscape.itreetools.org/report/dcac7b19-9d92-406d-a8e7-3b4084412b7c/mult-co-executive-summary"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hyperlink" Target="https://www.oregon.gov/odot/dmv/pages/news/vehicle_stats.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A8EA4-7E30-2044-8C56-38FC511999D9}">
  <sheetPr>
    <tabColor theme="0" tint="-0.249977111117893"/>
  </sheetPr>
  <dimension ref="A1:D54"/>
  <sheetViews>
    <sheetView showGridLines="0" tabSelected="1" zoomScale="170" zoomScaleNormal="170" workbookViewId="0"/>
  </sheetViews>
  <sheetFormatPr defaultColWidth="10.875" defaultRowHeight="15"/>
  <cols>
    <col min="1" max="1" width="7.125" style="116" customWidth="1"/>
    <col min="2" max="2" width="25.5" style="116" customWidth="1"/>
    <col min="3" max="3" width="91.5" style="116" customWidth="1"/>
    <col min="4" max="16384" width="10.875" style="116"/>
  </cols>
  <sheetData>
    <row r="1" spans="1:4" ht="11.1" customHeight="1"/>
    <row r="2" spans="1:4" ht="30">
      <c r="A2" s="194" t="s">
        <v>270</v>
      </c>
      <c r="B2" s="195"/>
      <c r="C2" s="195"/>
      <c r="D2" s="195"/>
    </row>
    <row r="3" spans="1:4" ht="23.25">
      <c r="A3" s="196" t="s">
        <v>556</v>
      </c>
      <c r="B3" s="197"/>
      <c r="C3" s="198"/>
      <c r="D3" s="198"/>
    </row>
    <row r="5" spans="1:4">
      <c r="B5" s="201" t="s">
        <v>257</v>
      </c>
      <c r="C5" s="202" t="s">
        <v>268</v>
      </c>
    </row>
    <row r="6" spans="1:4" ht="15.75">
      <c r="B6" s="117"/>
      <c r="C6" s="204" t="s">
        <v>269</v>
      </c>
    </row>
    <row r="7" spans="1:4" ht="15.75">
      <c r="C7" s="202" t="s">
        <v>267</v>
      </c>
      <c r="D7"/>
    </row>
    <row r="11" spans="1:4" ht="17.100000000000001" customHeight="1">
      <c r="A11" s="196"/>
      <c r="B11" s="199" t="s">
        <v>255</v>
      </c>
      <c r="C11" s="203" t="s">
        <v>343</v>
      </c>
      <c r="D11"/>
    </row>
    <row r="12" spans="1:4" ht="14.1" customHeight="1">
      <c r="B12" s="197"/>
      <c r="C12" s="209" t="s">
        <v>256</v>
      </c>
      <c r="D12" s="198"/>
    </row>
    <row r="13" spans="1:4" ht="17.100000000000001" customHeight="1">
      <c r="B13" s="200"/>
      <c r="C13" s="203" t="s">
        <v>500</v>
      </c>
      <c r="D13" s="198"/>
    </row>
    <row r="14" spans="1:4" ht="18" customHeight="1">
      <c r="B14" s="199" t="s">
        <v>335</v>
      </c>
      <c r="C14" s="203" t="s">
        <v>344</v>
      </c>
      <c r="D14" s="198"/>
    </row>
    <row r="15" spans="1:4">
      <c r="C15" s="209" t="s">
        <v>337</v>
      </c>
      <c r="D15" s="198"/>
    </row>
    <row r="16" spans="1:4">
      <c r="C16" s="203" t="s">
        <v>336</v>
      </c>
      <c r="D16" s="198"/>
    </row>
    <row r="17" spans="4:4" ht="9" customHeight="1">
      <c r="D17" s="198"/>
    </row>
    <row r="18" spans="4:4" ht="3.95" customHeight="1">
      <c r="D18" s="198"/>
    </row>
    <row r="28" spans="4:4">
      <c r="D28" s="116" t="s">
        <v>39</v>
      </c>
    </row>
    <row r="41" spans="2:3" s="202" customFormat="1" ht="14.25"/>
    <row r="42" spans="2:3" s="202" customFormat="1" ht="14.25"/>
    <row r="43" spans="2:3" s="202" customFormat="1" ht="14.25"/>
    <row r="44" spans="2:3" s="202" customFormat="1" ht="9.9499999999999993" customHeight="1"/>
    <row r="45" spans="2:3" s="206" customFormat="1" ht="24.95" customHeight="1">
      <c r="B45" s="205" t="s">
        <v>261</v>
      </c>
      <c r="C45" s="205" t="s">
        <v>127</v>
      </c>
    </row>
    <row r="46" spans="2:3" s="202" customFormat="1" ht="164.1" customHeight="1">
      <c r="B46" s="207" t="s">
        <v>262</v>
      </c>
      <c r="C46" s="208" t="s">
        <v>463</v>
      </c>
    </row>
    <row r="47" spans="2:3" s="202" customFormat="1" ht="318" customHeight="1">
      <c r="B47" s="207" t="s">
        <v>263</v>
      </c>
      <c r="C47" s="208" t="s">
        <v>464</v>
      </c>
    </row>
    <row r="48" spans="2:3" s="202" customFormat="1" ht="71.25">
      <c r="B48" s="207" t="s">
        <v>264</v>
      </c>
      <c r="C48" s="208" t="s">
        <v>554</v>
      </c>
    </row>
    <row r="49" spans="2:3" s="202" customFormat="1" ht="114">
      <c r="B49" s="207" t="s">
        <v>476</v>
      </c>
      <c r="C49" s="208" t="s">
        <v>555</v>
      </c>
    </row>
    <row r="50" spans="2:3" s="202" customFormat="1" ht="39.950000000000003" customHeight="1">
      <c r="B50" s="561" t="s">
        <v>461</v>
      </c>
      <c r="C50" s="208" t="s">
        <v>265</v>
      </c>
    </row>
    <row r="51" spans="2:3" s="202" customFormat="1" ht="114">
      <c r="B51" s="561" t="s">
        <v>462</v>
      </c>
      <c r="C51" s="208" t="s">
        <v>266</v>
      </c>
    </row>
    <row r="52" spans="2:3" s="202" customFormat="1">
      <c r="B52" s="561" t="s">
        <v>551</v>
      </c>
      <c r="C52" s="208" t="s">
        <v>553</v>
      </c>
    </row>
    <row r="53" spans="2:3" s="202" customFormat="1" ht="14.25"/>
    <row r="54" spans="2:3" s="202" customFormat="1" ht="14.25"/>
  </sheetData>
  <sheetProtection algorithmName="SHA-512" hashValue="poPuzpnOyADL09N+mj5XgPAcSJZUMRXoIv5wA5W8pxcoeKh6ipVDhKTaAJC2QKsDmEYzxepgN2ht5gwuFIdpIQ==" saltValue="Hh3vs02zeIKW3pudk5hnww==" spinCount="100000" sheet="1" objects="1" scenarios="1"/>
  <hyperlinks>
    <hyperlink ref="C12" r:id="rId1" xr:uid="{6F2DB6BD-2BFD-BB4F-AD2C-9705029E55DD}"/>
    <hyperlink ref="C6" r:id="rId2" xr:uid="{8A8DAA4A-7D51-1B49-88DE-29BB6A669583}"/>
  </hyperlinks>
  <pageMargins left="0.7" right="0.7" top="0.75" bottom="0.75" header="0.3" footer="0.3"/>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DDAE1-1D64-2F4C-A043-06C836665F51}">
  <dimension ref="A1:AN132"/>
  <sheetViews>
    <sheetView workbookViewId="0">
      <selection sqref="A1:XFD1048576"/>
    </sheetView>
  </sheetViews>
  <sheetFormatPr defaultColWidth="11" defaultRowHeight="15.75"/>
  <cols>
    <col min="1" max="1" width="15" style="337" customWidth="1"/>
    <col min="2" max="2" width="28.625" style="337" customWidth="1"/>
    <col min="3" max="3" width="11.625" style="337" bestFit="1" customWidth="1"/>
    <col min="4" max="15" width="11" style="337" customWidth="1"/>
    <col min="16" max="16" width="11" style="337"/>
    <col min="17" max="35" width="11" style="337" customWidth="1"/>
    <col min="36" max="16384" width="11" style="337"/>
  </cols>
  <sheetData>
    <row r="1" spans="1:36">
      <c r="C1" s="338">
        <v>2017</v>
      </c>
      <c r="D1" s="338">
        <v>2018</v>
      </c>
      <c r="E1" s="338">
        <v>2019</v>
      </c>
      <c r="F1" s="338">
        <v>2020</v>
      </c>
      <c r="G1" s="338">
        <v>2021</v>
      </c>
      <c r="H1" s="338">
        <v>2022</v>
      </c>
      <c r="I1" s="338">
        <v>2023</v>
      </c>
      <c r="J1" s="338">
        <v>2024</v>
      </c>
      <c r="K1" s="338">
        <v>2025</v>
      </c>
      <c r="L1" s="338">
        <v>2026</v>
      </c>
      <c r="M1" s="338">
        <v>2027</v>
      </c>
      <c r="N1" s="338">
        <v>2028</v>
      </c>
      <c r="O1" s="338">
        <v>2029</v>
      </c>
      <c r="P1" s="338">
        <v>2030</v>
      </c>
      <c r="Q1" s="338">
        <v>2031</v>
      </c>
      <c r="R1" s="338">
        <v>2032</v>
      </c>
      <c r="S1" s="338">
        <v>2033</v>
      </c>
      <c r="T1" s="338">
        <v>2034</v>
      </c>
      <c r="U1" s="338">
        <v>2035</v>
      </c>
      <c r="V1" s="338">
        <v>2036</v>
      </c>
      <c r="W1" s="338">
        <v>2037</v>
      </c>
      <c r="X1" s="338">
        <v>2038</v>
      </c>
      <c r="Y1" s="338">
        <v>2039</v>
      </c>
      <c r="Z1" s="338">
        <v>2040</v>
      </c>
      <c r="AA1" s="338">
        <v>2041</v>
      </c>
      <c r="AB1" s="338">
        <v>2042</v>
      </c>
      <c r="AC1" s="338">
        <v>2043</v>
      </c>
      <c r="AD1" s="338">
        <v>2044</v>
      </c>
      <c r="AE1" s="338">
        <v>2045</v>
      </c>
      <c r="AF1" s="338">
        <v>2046</v>
      </c>
      <c r="AG1" s="338">
        <v>2047</v>
      </c>
      <c r="AH1" s="338">
        <v>2048</v>
      </c>
      <c r="AI1" s="338">
        <v>2049</v>
      </c>
      <c r="AJ1" s="338">
        <v>2050</v>
      </c>
    </row>
    <row r="2" spans="1:36">
      <c r="A2" s="841" t="s">
        <v>367</v>
      </c>
      <c r="B2" s="367" t="s">
        <v>368</v>
      </c>
      <c r="C2" s="368">
        <v>136981.78126204922</v>
      </c>
      <c r="D2" s="368">
        <v>125636.4767675848</v>
      </c>
      <c r="E2" s="368">
        <v>118977.51799496004</v>
      </c>
      <c r="F2" s="368">
        <v>111483.60924165537</v>
      </c>
      <c r="G2" s="368">
        <v>101948.75653415806</v>
      </c>
      <c r="H2" s="368">
        <v>103742.73804420939</v>
      </c>
      <c r="I2" s="368">
        <v>100290.33687890199</v>
      </c>
      <c r="J2" s="368">
        <v>89023.436529167288</v>
      </c>
      <c r="K2" s="368">
        <v>86947.969730922385</v>
      </c>
      <c r="L2" s="368">
        <v>86635.672454819462</v>
      </c>
      <c r="M2" s="368">
        <v>85868.447698662829</v>
      </c>
      <c r="N2" s="368">
        <v>80010.170460163528</v>
      </c>
      <c r="O2" s="368">
        <v>79148.359179115447</v>
      </c>
      <c r="P2" s="368">
        <v>57473.470955870122</v>
      </c>
      <c r="Q2" s="368">
        <v>53582.549661731813</v>
      </c>
      <c r="R2" s="368">
        <v>49377.361065772086</v>
      </c>
      <c r="S2" s="368">
        <v>44526.495106629605</v>
      </c>
      <c r="T2" s="368">
        <v>40703.966569303513</v>
      </c>
      <c r="U2" s="368">
        <v>36681.509367729494</v>
      </c>
      <c r="V2" s="368">
        <v>34931.928854444646</v>
      </c>
      <c r="W2" s="368">
        <v>34844.734320225434</v>
      </c>
      <c r="X2" s="368">
        <v>33219.330014748622</v>
      </c>
      <c r="Y2" s="368">
        <v>30617.489741962218</v>
      </c>
      <c r="Z2" s="368">
        <v>29777.558596053517</v>
      </c>
      <c r="AA2" s="368">
        <v>30081.633886941199</v>
      </c>
      <c r="AB2" s="368">
        <v>29623.67049441185</v>
      </c>
      <c r="AC2" s="368">
        <v>29167.849037022443</v>
      </c>
      <c r="AD2" s="368">
        <v>27528.386719905895</v>
      </c>
      <c r="AE2" s="368">
        <v>27403.06349302502</v>
      </c>
      <c r="AF2" s="368">
        <v>25456.93062875445</v>
      </c>
      <c r="AG2" s="368">
        <v>25231.005824242369</v>
      </c>
      <c r="AH2" s="368">
        <v>25325.26218236368</v>
      </c>
      <c r="AI2" s="368">
        <v>25100.106388819135</v>
      </c>
      <c r="AJ2" s="368">
        <v>24875.876229969763</v>
      </c>
    </row>
    <row r="3" spans="1:36">
      <c r="A3" s="841"/>
      <c r="B3" s="367" t="s">
        <v>369</v>
      </c>
      <c r="C3" s="368">
        <v>537805.31855100102</v>
      </c>
      <c r="D3" s="368">
        <v>493262.42356534518</v>
      </c>
      <c r="E3" s="368">
        <v>467118.6297634638</v>
      </c>
      <c r="F3" s="368">
        <v>437696.73185024294</v>
      </c>
      <c r="G3" s="368">
        <v>400261.86678681755</v>
      </c>
      <c r="H3" s="368">
        <v>407305.23261692061</v>
      </c>
      <c r="I3" s="368">
        <v>393750.73149007332</v>
      </c>
      <c r="J3" s="368">
        <v>349515.65967362723</v>
      </c>
      <c r="K3" s="368">
        <v>341367.15209628153</v>
      </c>
      <c r="L3" s="368">
        <v>340141.03914527642</v>
      </c>
      <c r="M3" s="368">
        <v>337128.83160509501</v>
      </c>
      <c r="N3" s="368">
        <v>314128.60027955833</v>
      </c>
      <c r="O3" s="368">
        <v>310745.03579189663</v>
      </c>
      <c r="P3" s="368">
        <v>225647.07562477092</v>
      </c>
      <c r="Q3" s="368">
        <v>210370.89694778449</v>
      </c>
      <c r="R3" s="368">
        <v>193860.87078532192</v>
      </c>
      <c r="S3" s="368">
        <v>174815.84532011722</v>
      </c>
      <c r="T3" s="368">
        <v>159808.18401839849</v>
      </c>
      <c r="U3" s="368">
        <v>144015.58111369653</v>
      </c>
      <c r="V3" s="368">
        <v>137146.53840882945</v>
      </c>
      <c r="W3" s="368">
        <v>136804.20321783086</v>
      </c>
      <c r="X3" s="368">
        <v>130422.68976233815</v>
      </c>
      <c r="Y3" s="368">
        <v>120207.58287854127</v>
      </c>
      <c r="Z3" s="368">
        <v>116909.92217268297</v>
      </c>
      <c r="AA3" s="368">
        <v>118103.75471868046</v>
      </c>
      <c r="AB3" s="368">
        <v>116305.74080810953</v>
      </c>
      <c r="AC3" s="368">
        <v>114516.13636702897</v>
      </c>
      <c r="AD3" s="368">
        <v>108079.42963431031</v>
      </c>
      <c r="AE3" s="368">
        <v>107587.39706374847</v>
      </c>
      <c r="AF3" s="368">
        <v>99946.668527671369</v>
      </c>
      <c r="AG3" s="368">
        <v>99059.663260695379</v>
      </c>
      <c r="AH3" s="368">
        <v>99429.723937654417</v>
      </c>
      <c r="AI3" s="368">
        <v>98545.737891078039</v>
      </c>
      <c r="AJ3" s="368">
        <v>97665.385986630004</v>
      </c>
    </row>
    <row r="4" spans="1:36">
      <c r="A4" s="841"/>
      <c r="B4" s="367" t="s">
        <v>370</v>
      </c>
      <c r="C4" s="368">
        <v>45233.996877666359</v>
      </c>
      <c r="D4" s="368">
        <v>41558.477834083576</v>
      </c>
      <c r="E4" s="368">
        <v>39422.974938536485</v>
      </c>
      <c r="F4" s="368">
        <v>37002.798442062944</v>
      </c>
      <c r="G4" s="368">
        <v>33895.541169803626</v>
      </c>
      <c r="H4" s="368">
        <v>34550.396347018846</v>
      </c>
      <c r="I4" s="368">
        <v>33456.944227610627</v>
      </c>
      <c r="J4" s="368">
        <v>29748.160780751725</v>
      </c>
      <c r="K4" s="368">
        <v>29103.155487832708</v>
      </c>
      <c r="L4" s="368">
        <v>29046.786614432462</v>
      </c>
      <c r="M4" s="368">
        <v>28837.064900886202</v>
      </c>
      <c r="N4" s="368">
        <v>26913.716442555335</v>
      </c>
      <c r="O4" s="368">
        <v>26667.106854144571</v>
      </c>
      <c r="P4" s="368">
        <v>19395.497731019503</v>
      </c>
      <c r="Q4" s="368">
        <v>18111.312972110649</v>
      </c>
      <c r="R4" s="368">
        <v>16716.315417735685</v>
      </c>
      <c r="S4" s="368">
        <v>15097.668900411465</v>
      </c>
      <c r="T4" s="368">
        <v>13822.892149046756</v>
      </c>
      <c r="U4" s="368">
        <v>12475.897250877337</v>
      </c>
      <c r="V4" s="368">
        <v>11898.731639227653</v>
      </c>
      <c r="W4" s="368">
        <v>11886.647198924478</v>
      </c>
      <c r="X4" s="368">
        <v>11348.730630246442</v>
      </c>
      <c r="Y4" s="368">
        <v>10474.897373237252</v>
      </c>
      <c r="Z4" s="368">
        <v>10201.924616011931</v>
      </c>
      <c r="AA4" s="368">
        <v>10320.382382479193</v>
      </c>
      <c r="AB4" s="368">
        <v>10177.065314587051</v>
      </c>
      <c r="AC4" s="368">
        <v>10033.786559033151</v>
      </c>
      <c r="AD4" s="368">
        <v>9482.107173664439</v>
      </c>
      <c r="AE4" s="368">
        <v>9450.9003213768701</v>
      </c>
      <c r="AF4" s="368">
        <v>8790.5454863727991</v>
      </c>
      <c r="AG4" s="368">
        <v>8722.9874696422357</v>
      </c>
      <c r="AH4" s="368">
        <v>8765.7711081987218</v>
      </c>
      <c r="AI4" s="368">
        <v>8697.6360175686623</v>
      </c>
      <c r="AJ4" s="368">
        <v>8629.3273200071944</v>
      </c>
    </row>
    <row r="5" spans="1:36">
      <c r="A5" s="841"/>
      <c r="B5" s="367" t="s">
        <v>371</v>
      </c>
      <c r="C5" s="368">
        <v>425064.75467377884</v>
      </c>
      <c r="D5" s="368">
        <v>390525.83022753545</v>
      </c>
      <c r="E5" s="368">
        <v>370458.4676892265</v>
      </c>
      <c r="F5" s="368">
        <v>347716.02174700884</v>
      </c>
      <c r="G5" s="368">
        <v>318517.0642966372</v>
      </c>
      <c r="H5" s="368">
        <v>324670.75122380938</v>
      </c>
      <c r="I5" s="368">
        <v>314395.5602398956</v>
      </c>
      <c r="J5" s="368">
        <v>279544.04954450513</v>
      </c>
      <c r="K5" s="368">
        <v>273482.92217299755</v>
      </c>
      <c r="L5" s="368">
        <v>272953.22276553843</v>
      </c>
      <c r="M5" s="368">
        <v>270982.46371545055</v>
      </c>
      <c r="N5" s="368">
        <v>252908.72057920654</v>
      </c>
      <c r="O5" s="368">
        <v>250591.32544648112</v>
      </c>
      <c r="P5" s="368">
        <v>182259.87208488674</v>
      </c>
      <c r="Q5" s="368">
        <v>170192.36275163764</v>
      </c>
      <c r="R5" s="368">
        <v>157083.54340886403</v>
      </c>
      <c r="S5" s="368">
        <v>141873.09038056459</v>
      </c>
      <c r="T5" s="368">
        <v>129893.98827848585</v>
      </c>
      <c r="U5" s="368">
        <v>117236.25083632075</v>
      </c>
      <c r="V5" s="368">
        <v>111812.61427850107</v>
      </c>
      <c r="W5" s="368">
        <v>111699.0565562699</v>
      </c>
      <c r="X5" s="368">
        <v>106644.24402403971</v>
      </c>
      <c r="Y5" s="368">
        <v>98432.81579184228</v>
      </c>
      <c r="Z5" s="368">
        <v>95867.685445381663</v>
      </c>
      <c r="AA5" s="368">
        <v>96980.835397148825</v>
      </c>
      <c r="AB5" s="368">
        <v>95634.082102964108</v>
      </c>
      <c r="AC5" s="368">
        <v>94287.688830572282</v>
      </c>
      <c r="AD5" s="368">
        <v>89103.546840322626</v>
      </c>
      <c r="AE5" s="368">
        <v>88810.295438116635</v>
      </c>
      <c r="AF5" s="368">
        <v>82604.928118978904</v>
      </c>
      <c r="AG5" s="368">
        <v>81970.084112478988</v>
      </c>
      <c r="AH5" s="368">
        <v>82372.1228020126</v>
      </c>
      <c r="AI5" s="368">
        <v>81731.856020775711</v>
      </c>
      <c r="AJ5" s="368">
        <v>81089.957851803891</v>
      </c>
    </row>
    <row r="6" spans="1:36">
      <c r="A6" s="841"/>
      <c r="B6" s="367" t="s">
        <v>372</v>
      </c>
      <c r="C6" s="368">
        <v>161027.39385071094</v>
      </c>
      <c r="D6" s="368">
        <v>147943.00393404154</v>
      </c>
      <c r="E6" s="368">
        <v>140340.87965657411</v>
      </c>
      <c r="F6" s="368">
        <v>131725.35282307654</v>
      </c>
      <c r="G6" s="368">
        <v>120663.90402100018</v>
      </c>
      <c r="H6" s="368">
        <v>122995.10687317788</v>
      </c>
      <c r="I6" s="368">
        <v>119102.55354509075</v>
      </c>
      <c r="J6" s="368">
        <v>105899.74649667776</v>
      </c>
      <c r="K6" s="368">
        <v>103603.60800554333</v>
      </c>
      <c r="L6" s="368">
        <v>103402.94183840162</v>
      </c>
      <c r="M6" s="368">
        <v>102656.35866429936</v>
      </c>
      <c r="N6" s="368">
        <v>95809.477754142179</v>
      </c>
      <c r="O6" s="368">
        <v>94931.578340836335</v>
      </c>
      <c r="P6" s="368">
        <v>69045.555724603386</v>
      </c>
      <c r="Q6" s="368">
        <v>64474.017960448924</v>
      </c>
      <c r="R6" s="368">
        <v>59508.000448960243</v>
      </c>
      <c r="S6" s="368">
        <v>53745.820490484366</v>
      </c>
      <c r="T6" s="368">
        <v>49207.774061182747</v>
      </c>
      <c r="U6" s="368">
        <v>44412.640025845743</v>
      </c>
      <c r="V6" s="368">
        <v>42358.002348888949</v>
      </c>
      <c r="W6" s="368">
        <v>42314.983246831114</v>
      </c>
      <c r="X6" s="368">
        <v>40400.067273396344</v>
      </c>
      <c r="Y6" s="368">
        <v>37289.329736388157</v>
      </c>
      <c r="Z6" s="368">
        <v>36317.580726299253</v>
      </c>
      <c r="AA6" s="368">
        <v>36739.275618023872</v>
      </c>
      <c r="AB6" s="368">
        <v>36229.084710078896</v>
      </c>
      <c r="AC6" s="368">
        <v>35719.03018928528</v>
      </c>
      <c r="AD6" s="368">
        <v>33755.120302937241</v>
      </c>
      <c r="AE6" s="368">
        <v>33644.027796393064</v>
      </c>
      <c r="AF6" s="368">
        <v>31293.246847607974</v>
      </c>
      <c r="AG6" s="368">
        <v>31052.748724099984</v>
      </c>
      <c r="AH6" s="368">
        <v>31205.053147581151</v>
      </c>
      <c r="AI6" s="368">
        <v>30962.500712880035</v>
      </c>
      <c r="AJ6" s="368">
        <v>30719.33025913022</v>
      </c>
    </row>
    <row r="7" spans="1:36">
      <c r="A7" s="841"/>
      <c r="B7" s="367" t="s">
        <v>373</v>
      </c>
      <c r="C7" s="368">
        <v>295346.29732727539</v>
      </c>
      <c r="D7" s="368">
        <v>270064.91515031789</v>
      </c>
      <c r="E7" s="368">
        <v>256325.7902733073</v>
      </c>
      <c r="F7" s="368">
        <v>240725.51379206136</v>
      </c>
      <c r="G7" s="368">
        <v>220640.51227547511</v>
      </c>
      <c r="H7" s="368">
        <v>225040.9597514717</v>
      </c>
      <c r="I7" s="368">
        <v>218057.79320183626</v>
      </c>
      <c r="J7" s="368">
        <v>194014.16791274605</v>
      </c>
      <c r="K7" s="368">
        <v>189938.41407246655</v>
      </c>
      <c r="L7" s="368">
        <v>189706.35461956699</v>
      </c>
      <c r="M7" s="368">
        <v>188476.75218694477</v>
      </c>
      <c r="N7" s="368">
        <v>176041.67515587178</v>
      </c>
      <c r="O7" s="368">
        <v>174568.22110556703</v>
      </c>
      <c r="P7" s="368">
        <v>127072.12897393611</v>
      </c>
      <c r="Q7" s="368">
        <v>118760.57208839146</v>
      </c>
      <c r="R7" s="368">
        <v>109710.70357033791</v>
      </c>
      <c r="S7" s="368">
        <v>99178.565363254165</v>
      </c>
      <c r="T7" s="368">
        <v>90890.809134041905</v>
      </c>
      <c r="U7" s="368">
        <v>82114.503130444209</v>
      </c>
      <c r="V7" s="368">
        <v>78395.286069947178</v>
      </c>
      <c r="W7" s="368">
        <v>78397.874762656415</v>
      </c>
      <c r="X7" s="368">
        <v>74931.176563424116</v>
      </c>
      <c r="Y7" s="368">
        <v>69238.933968728321</v>
      </c>
      <c r="Z7" s="368">
        <v>67512.361892239642</v>
      </c>
      <c r="AA7" s="368">
        <v>68377.484990886966</v>
      </c>
      <c r="AB7" s="368">
        <v>67510.585052836774</v>
      </c>
      <c r="AC7" s="368">
        <v>66644.186054781414</v>
      </c>
      <c r="AD7" s="368">
        <v>63061.861814814816</v>
      </c>
      <c r="AE7" s="368">
        <v>62938.494321241815</v>
      </c>
      <c r="AF7" s="368">
        <v>58621.543852836199</v>
      </c>
      <c r="AG7" s="368">
        <v>58253.532433636668</v>
      </c>
      <c r="AH7" s="368">
        <v>58624.665547202647</v>
      </c>
      <c r="AI7" s="368">
        <v>58256.270524268963</v>
      </c>
      <c r="AJ7" s="368">
        <v>57887.910629175029</v>
      </c>
    </row>
    <row r="8" spans="1:36">
      <c r="A8" s="841"/>
      <c r="B8" s="367" t="s">
        <v>374</v>
      </c>
      <c r="C8" s="368">
        <v>1120813.897707039</v>
      </c>
      <c r="D8" s="368">
        <v>1031696.4754279868</v>
      </c>
      <c r="E8" s="368">
        <v>979210.55105981336</v>
      </c>
      <c r="F8" s="368">
        <v>919614.69332892215</v>
      </c>
      <c r="G8" s="368">
        <v>842886.38057458226</v>
      </c>
      <c r="H8" s="368">
        <v>859696.88018636906</v>
      </c>
      <c r="I8" s="368">
        <v>833019.92989619367</v>
      </c>
      <c r="J8" s="368">
        <v>741168.96342223044</v>
      </c>
      <c r="K8" s="368">
        <v>725598.85180892446</v>
      </c>
      <c r="L8" s="368">
        <v>724712.34302449762</v>
      </c>
      <c r="M8" s="368">
        <v>720015.0409139737</v>
      </c>
      <c r="N8" s="368">
        <v>672510.8135044534</v>
      </c>
      <c r="O8" s="368">
        <v>666881.95442233852</v>
      </c>
      <c r="P8" s="368">
        <v>485438.35290330235</v>
      </c>
      <c r="Q8" s="368">
        <v>453686.71297124092</v>
      </c>
      <c r="R8" s="368">
        <v>419114.59001344856</v>
      </c>
      <c r="S8" s="368">
        <v>378879.93065045518</v>
      </c>
      <c r="T8" s="368">
        <v>347219.21349981957</v>
      </c>
      <c r="U8" s="368">
        <v>313692.1484749181</v>
      </c>
      <c r="V8" s="368">
        <v>299484.07138896745</v>
      </c>
      <c r="W8" s="368">
        <v>299493.96066000668</v>
      </c>
      <c r="X8" s="368">
        <v>286250.55097263656</v>
      </c>
      <c r="Y8" s="368">
        <v>264505.16202065069</v>
      </c>
      <c r="Z8" s="368">
        <v>257909.34662236288</v>
      </c>
      <c r="AA8" s="368">
        <v>261214.27222215431</v>
      </c>
      <c r="AB8" s="368">
        <v>257902.55877675055</v>
      </c>
      <c r="AC8" s="368">
        <v>254592.75901208838</v>
      </c>
      <c r="AD8" s="368">
        <v>240907.63708443384</v>
      </c>
      <c r="AE8" s="368">
        <v>240436.35110405827</v>
      </c>
      <c r="AF8" s="368">
        <v>223944.82505606234</v>
      </c>
      <c r="AG8" s="368">
        <v>222538.95534546307</v>
      </c>
      <c r="AH8" s="368">
        <v>223956.75048915108</v>
      </c>
      <c r="AI8" s="368">
        <v>222549.41534339782</v>
      </c>
      <c r="AJ8" s="368">
        <v>221142.21439230096</v>
      </c>
    </row>
    <row r="9" spans="1:36">
      <c r="A9" s="841"/>
      <c r="B9" s="367" t="s">
        <v>46</v>
      </c>
      <c r="C9" s="366">
        <f t="shared" ref="C9:AJ9" si="0">SUM(C2:C8)</f>
        <v>2722273.4402495208</v>
      </c>
      <c r="D9" s="366">
        <f t="shared" si="0"/>
        <v>2500687.6029068953</v>
      </c>
      <c r="E9" s="366">
        <f t="shared" si="0"/>
        <v>2371854.8113758815</v>
      </c>
      <c r="F9" s="366">
        <f t="shared" si="0"/>
        <v>2225964.7212250303</v>
      </c>
      <c r="G9" s="366">
        <f t="shared" si="0"/>
        <v>2038814.0256584738</v>
      </c>
      <c r="H9" s="366">
        <f t="shared" si="0"/>
        <v>2078002.0650429768</v>
      </c>
      <c r="I9" s="366">
        <f t="shared" si="0"/>
        <v>2012073.8494796022</v>
      </c>
      <c r="J9" s="366">
        <f t="shared" si="0"/>
        <v>1788914.1843597055</v>
      </c>
      <c r="K9" s="366">
        <f t="shared" si="0"/>
        <v>1750042.0733749685</v>
      </c>
      <c r="L9" s="366">
        <f t="shared" si="0"/>
        <v>1746598.3604625331</v>
      </c>
      <c r="M9" s="366">
        <f t="shared" si="0"/>
        <v>1733964.9596853124</v>
      </c>
      <c r="N9" s="366">
        <f t="shared" si="0"/>
        <v>1618323.1741759512</v>
      </c>
      <c r="O9" s="366">
        <f t="shared" si="0"/>
        <v>1603533.5811403797</v>
      </c>
      <c r="P9" s="366">
        <f t="shared" si="0"/>
        <v>1166331.9539983892</v>
      </c>
      <c r="Q9" s="366">
        <f t="shared" si="0"/>
        <v>1089178.4253533459</v>
      </c>
      <c r="R9" s="366">
        <f t="shared" si="0"/>
        <v>1005371.3847104404</v>
      </c>
      <c r="S9" s="366">
        <f t="shared" si="0"/>
        <v>908117.4162119166</v>
      </c>
      <c r="T9" s="366">
        <f t="shared" si="0"/>
        <v>831546.8277102788</v>
      </c>
      <c r="U9" s="366">
        <f t="shared" si="0"/>
        <v>750628.53019983217</v>
      </c>
      <c r="V9" s="366">
        <f t="shared" si="0"/>
        <v>716027.17298880639</v>
      </c>
      <c r="W9" s="366">
        <f t="shared" si="0"/>
        <v>715441.45996274485</v>
      </c>
      <c r="X9" s="366">
        <f t="shared" si="0"/>
        <v>683216.78924082988</v>
      </c>
      <c r="Y9" s="366">
        <f t="shared" si="0"/>
        <v>630766.21151135024</v>
      </c>
      <c r="Z9" s="366">
        <f t="shared" si="0"/>
        <v>614496.38007103186</v>
      </c>
      <c r="AA9" s="366">
        <f t="shared" si="0"/>
        <v>621817.63921631477</v>
      </c>
      <c r="AB9" s="366">
        <f t="shared" si="0"/>
        <v>613382.78725973878</v>
      </c>
      <c r="AC9" s="366">
        <f t="shared" si="0"/>
        <v>604961.43604981189</v>
      </c>
      <c r="AD9" s="366">
        <f t="shared" si="0"/>
        <v>571918.08957038913</v>
      </c>
      <c r="AE9" s="366">
        <f t="shared" si="0"/>
        <v>570270.52953796019</v>
      </c>
      <c r="AF9" s="366">
        <f t="shared" si="0"/>
        <v>530658.68851828401</v>
      </c>
      <c r="AG9" s="366">
        <f t="shared" si="0"/>
        <v>526828.97717025876</v>
      </c>
      <c r="AH9" s="366">
        <f t="shared" si="0"/>
        <v>529679.34921416431</v>
      </c>
      <c r="AI9" s="366">
        <f t="shared" si="0"/>
        <v>525843.52289878833</v>
      </c>
      <c r="AJ9" s="366">
        <f t="shared" si="0"/>
        <v>522010.00266901706</v>
      </c>
    </row>
    <row r="10" spans="1:36">
      <c r="A10" s="370"/>
    </row>
    <row r="11" spans="1:36">
      <c r="A11" s="841" t="s">
        <v>375</v>
      </c>
      <c r="B11" s="367" t="s">
        <v>368</v>
      </c>
      <c r="C11" s="366">
        <v>65878.387245010905</v>
      </c>
      <c r="D11" s="366">
        <v>65705.759271541363</v>
      </c>
      <c r="E11" s="366">
        <v>65531.820107137049</v>
      </c>
      <c r="F11" s="366">
        <v>65356.611853595132</v>
      </c>
      <c r="G11" s="366">
        <v>65180.176612712829</v>
      </c>
      <c r="H11" s="366">
        <v>65002.556486287322</v>
      </c>
      <c r="I11" s="366">
        <v>64823.793576115815</v>
      </c>
      <c r="J11" s="366">
        <v>64643.92998399552</v>
      </c>
      <c r="K11" s="366">
        <v>64463.007811723633</v>
      </c>
      <c r="L11" s="366">
        <v>64281.069161097344</v>
      </c>
      <c r="M11" s="366">
        <v>64098.15613391385</v>
      </c>
      <c r="N11" s="366">
        <v>63914.310831970368</v>
      </c>
      <c r="O11" s="366">
        <v>63729.575357064088</v>
      </c>
      <c r="P11" s="366">
        <v>63543.991810992178</v>
      </c>
      <c r="Q11" s="366">
        <v>63357.602295551907</v>
      </c>
      <c r="R11" s="366">
        <v>63170.4489125404</v>
      </c>
      <c r="S11" s="366">
        <v>62982.573763754895</v>
      </c>
      <c r="T11" s="366">
        <v>62794.018950992599</v>
      </c>
      <c r="U11" s="366">
        <v>62604.826576050684</v>
      </c>
      <c r="V11" s="366">
        <v>62415.038740726377</v>
      </c>
      <c r="W11" s="366">
        <v>62224.697546816838</v>
      </c>
      <c r="X11" s="366">
        <v>62033.845096119301</v>
      </c>
      <c r="Y11" s="366">
        <v>61842.523490430955</v>
      </c>
      <c r="Z11" s="366">
        <v>61650.774831549003</v>
      </c>
      <c r="AA11" s="366">
        <v>61458.641221270627</v>
      </c>
      <c r="AB11" s="366">
        <v>61266.164761393047</v>
      </c>
      <c r="AC11" s="366">
        <v>61073.387553713437</v>
      </c>
      <c r="AD11" s="366">
        <v>60880.35170002903</v>
      </c>
      <c r="AE11" s="366">
        <v>60687.099302137001</v>
      </c>
      <c r="AF11" s="366">
        <v>60493.672461834554</v>
      </c>
      <c r="AG11" s="366">
        <v>60300.113280918878</v>
      </c>
      <c r="AH11" s="366">
        <v>60106.4638611872</v>
      </c>
      <c r="AI11" s="366">
        <v>59912.766304436707</v>
      </c>
      <c r="AJ11" s="366">
        <v>59719.062712464576</v>
      </c>
    </row>
    <row r="12" spans="1:36">
      <c r="A12" s="841"/>
      <c r="B12" s="367" t="s">
        <v>369</v>
      </c>
      <c r="C12" s="366">
        <v>258645.68785356492</v>
      </c>
      <c r="D12" s="366">
        <v>257967.93172127326</v>
      </c>
      <c r="E12" s="366">
        <v>257285.02771127207</v>
      </c>
      <c r="F12" s="366">
        <v>256597.14111977987</v>
      </c>
      <c r="G12" s="366">
        <v>255904.43724301536</v>
      </c>
      <c r="H12" s="366">
        <v>255207.08137719703</v>
      </c>
      <c r="I12" s="366">
        <v>254505.23881854335</v>
      </c>
      <c r="J12" s="366">
        <v>253799.07486327307</v>
      </c>
      <c r="K12" s="366">
        <v>253088.75480760462</v>
      </c>
      <c r="L12" s="366">
        <v>252374.44394775655</v>
      </c>
      <c r="M12" s="366">
        <v>251656.30757994749</v>
      </c>
      <c r="N12" s="366">
        <v>250934.51100039599</v>
      </c>
      <c r="O12" s="366">
        <v>250209.21950532057</v>
      </c>
      <c r="P12" s="366">
        <v>249480.59839093979</v>
      </c>
      <c r="Q12" s="366">
        <v>248748.81295347222</v>
      </c>
      <c r="R12" s="366">
        <v>248014.02848913646</v>
      </c>
      <c r="S12" s="366">
        <v>247276.41029415102</v>
      </c>
      <c r="T12" s="366">
        <v>246536.12366473445</v>
      </c>
      <c r="U12" s="366">
        <v>245793.33389710539</v>
      </c>
      <c r="V12" s="366">
        <v>245048.20628748226</v>
      </c>
      <c r="W12" s="366">
        <v>244300.90613208379</v>
      </c>
      <c r="X12" s="366">
        <v>243551.59872712844</v>
      </c>
      <c r="Y12" s="366">
        <v>242800.44936883479</v>
      </c>
      <c r="Z12" s="366">
        <v>242047.62335342137</v>
      </c>
      <c r="AA12" s="366">
        <v>241293.28597710677</v>
      </c>
      <c r="AB12" s="366">
        <v>240537.60253610954</v>
      </c>
      <c r="AC12" s="366">
        <v>239780.73832664831</v>
      </c>
      <c r="AD12" s="366">
        <v>239022.85864494147</v>
      </c>
      <c r="AE12" s="366">
        <v>238264.12878720777</v>
      </c>
      <c r="AF12" s="366">
        <v>237504.71404966561</v>
      </c>
      <c r="AG12" s="366">
        <v>236744.7797285337</v>
      </c>
      <c r="AH12" s="366">
        <v>235984.49112003049</v>
      </c>
      <c r="AI12" s="366">
        <v>235224.01352037454</v>
      </c>
      <c r="AJ12" s="366">
        <v>234463.51222578451</v>
      </c>
    </row>
    <row r="13" spans="1:36">
      <c r="A13" s="841"/>
      <c r="B13" s="367" t="s">
        <v>370</v>
      </c>
      <c r="C13" s="366">
        <v>11430.707146359491</v>
      </c>
      <c r="D13" s="366">
        <v>11420.241993508873</v>
      </c>
      <c r="E13" s="366">
        <v>11409.449873831709</v>
      </c>
      <c r="F13" s="366">
        <v>11398.32575788141</v>
      </c>
      <c r="G13" s="366">
        <v>11386.864616211389</v>
      </c>
      <c r="H13" s="366">
        <v>11375.061419375057</v>
      </c>
      <c r="I13" s="366">
        <v>11362.91113792583</v>
      </c>
      <c r="J13" s="366">
        <v>11350.408742417114</v>
      </c>
      <c r="K13" s="366">
        <v>11337.549203402323</v>
      </c>
      <c r="L13" s="366">
        <v>11324.327491434871</v>
      </c>
      <c r="M13" s="366">
        <v>11310.73857706817</v>
      </c>
      <c r="N13" s="366">
        <v>11296.777430855629</v>
      </c>
      <c r="O13" s="366">
        <v>11282.439023350662</v>
      </c>
      <c r="P13" s="366">
        <v>11267.71832510668</v>
      </c>
      <c r="Q13" s="366">
        <v>11252.610306677099</v>
      </c>
      <c r="R13" s="366">
        <v>11237.109938615324</v>
      </c>
      <c r="S13" s="366">
        <v>11221.212191474775</v>
      </c>
      <c r="T13" s="366">
        <v>11204.912035808857</v>
      </c>
      <c r="U13" s="366">
        <v>11188.204442170987</v>
      </c>
      <c r="V13" s="366">
        <v>11171.08438111457</v>
      </c>
      <c r="W13" s="366">
        <v>11153.546823193026</v>
      </c>
      <c r="X13" s="366">
        <v>11135.586738959764</v>
      </c>
      <c r="Y13" s="366">
        <v>11117.199098968198</v>
      </c>
      <c r="Z13" s="366">
        <v>11098.378873771735</v>
      </c>
      <c r="AA13" s="366">
        <v>11079.121033923793</v>
      </c>
      <c r="AB13" s="366">
        <v>11059.42054997778</v>
      </c>
      <c r="AC13" s="366">
        <v>11039.27239248711</v>
      </c>
      <c r="AD13" s="366">
        <v>11018.67153200519</v>
      </c>
      <c r="AE13" s="366">
        <v>10997.612939085438</v>
      </c>
      <c r="AF13" s="366">
        <v>10976.091584281266</v>
      </c>
      <c r="AG13" s="366">
        <v>10954.102438146083</v>
      </c>
      <c r="AH13" s="366">
        <v>10931.640471233302</v>
      </c>
      <c r="AI13" s="366">
        <v>10908.700654096338</v>
      </c>
      <c r="AJ13" s="366">
        <v>10885.277957288596</v>
      </c>
    </row>
    <row r="14" spans="1:36">
      <c r="A14" s="841"/>
      <c r="B14" s="367" t="s">
        <v>371</v>
      </c>
      <c r="C14" s="366">
        <v>107414.57895165715</v>
      </c>
      <c r="D14" s="366">
        <v>107316.23770533521</v>
      </c>
      <c r="E14" s="366">
        <v>107214.82394533983</v>
      </c>
      <c r="F14" s="366">
        <v>107110.29040986286</v>
      </c>
      <c r="G14" s="366">
        <v>107002.58983709624</v>
      </c>
      <c r="H14" s="366">
        <v>106891.67496523185</v>
      </c>
      <c r="I14" s="366">
        <v>106777.49853246153</v>
      </c>
      <c r="J14" s="366">
        <v>106660.01327697728</v>
      </c>
      <c r="K14" s="366">
        <v>106539.17193697096</v>
      </c>
      <c r="L14" s="366">
        <v>106414.92725063444</v>
      </c>
      <c r="M14" s="366">
        <v>106287.23195615965</v>
      </c>
      <c r="N14" s="366">
        <v>106156.03879173847</v>
      </c>
      <c r="O14" s="366">
        <v>106021.30049556281</v>
      </c>
      <c r="P14" s="366">
        <v>105882.9698058246</v>
      </c>
      <c r="Q14" s="366">
        <v>105740.9994607157</v>
      </c>
      <c r="R14" s="366">
        <v>105595.342198428</v>
      </c>
      <c r="S14" s="366">
        <v>105445.9507571534</v>
      </c>
      <c r="T14" s="366">
        <v>105292.77787508385</v>
      </c>
      <c r="U14" s="366">
        <v>105135.77629041122</v>
      </c>
      <c r="V14" s="366">
        <v>104974.89874132739</v>
      </c>
      <c r="W14" s="366">
        <v>104810.09796602426</v>
      </c>
      <c r="X14" s="366">
        <v>104641.32670269378</v>
      </c>
      <c r="Y14" s="366">
        <v>104468.53768952777</v>
      </c>
      <c r="Z14" s="366">
        <v>104291.68366471819</v>
      </c>
      <c r="AA14" s="366">
        <v>104110.71736645694</v>
      </c>
      <c r="AB14" s="366">
        <v>103925.59153293587</v>
      </c>
      <c r="AC14" s="366">
        <v>103736.25890234695</v>
      </c>
      <c r="AD14" s="366">
        <v>103542.67221288198</v>
      </c>
      <c r="AE14" s="366">
        <v>103344.78420273295</v>
      </c>
      <c r="AF14" s="366">
        <v>103142.54761009174</v>
      </c>
      <c r="AG14" s="366">
        <v>102935.91517315021</v>
      </c>
      <c r="AH14" s="366">
        <v>102724.83963010031</v>
      </c>
      <c r="AI14" s="366">
        <v>102509.2737191339</v>
      </c>
      <c r="AJ14" s="366">
        <v>102289.17017844289</v>
      </c>
    </row>
    <row r="15" spans="1:36">
      <c r="A15" s="841"/>
      <c r="B15" s="367" t="s">
        <v>372</v>
      </c>
      <c r="C15" s="366">
        <v>40691.893458518673</v>
      </c>
      <c r="D15" s="366">
        <v>40654.638818068881</v>
      </c>
      <c r="E15" s="366">
        <v>40616.220216448557</v>
      </c>
      <c r="F15" s="366">
        <v>40576.619749454352</v>
      </c>
      <c r="G15" s="366">
        <v>40535.819512882976</v>
      </c>
      <c r="H15" s="366">
        <v>40493.801602531137</v>
      </c>
      <c r="I15" s="366">
        <v>40450.54811419551</v>
      </c>
      <c r="J15" s="366">
        <v>40406.041143672788</v>
      </c>
      <c r="K15" s="366">
        <v>40360.262786759653</v>
      </c>
      <c r="L15" s="366">
        <v>40313.195139252814</v>
      </c>
      <c r="M15" s="366">
        <v>40264.82029694895</v>
      </c>
      <c r="N15" s="366">
        <v>40215.120355644751</v>
      </c>
      <c r="O15" s="366">
        <v>40164.077411136917</v>
      </c>
      <c r="P15" s="366">
        <v>40111.673559222145</v>
      </c>
      <c r="Q15" s="366">
        <v>40057.890895697099</v>
      </c>
      <c r="R15" s="366">
        <v>40002.711516358497</v>
      </c>
      <c r="S15" s="366">
        <v>39946.117517003004</v>
      </c>
      <c r="T15" s="366">
        <v>39888.090993427344</v>
      </c>
      <c r="U15" s="366">
        <v>39828.614041428176</v>
      </c>
      <c r="V15" s="366">
        <v>39767.668756802224</v>
      </c>
      <c r="W15" s="366">
        <v>39705.237235346147</v>
      </c>
      <c r="X15" s="366">
        <v>39641.301572856653</v>
      </c>
      <c r="Y15" s="366">
        <v>39575.843865130424</v>
      </c>
      <c r="Z15" s="366">
        <v>39508.846207964161</v>
      </c>
      <c r="AA15" s="366">
        <v>39440.290697154545</v>
      </c>
      <c r="AB15" s="366">
        <v>39370.159428498293</v>
      </c>
      <c r="AC15" s="366">
        <v>39298.434497792063</v>
      </c>
      <c r="AD15" s="366">
        <v>39225.098000832557</v>
      </c>
      <c r="AE15" s="366">
        <v>39150.132033416463</v>
      </c>
      <c r="AF15" s="366">
        <v>39073.518691340476</v>
      </c>
      <c r="AG15" s="366">
        <v>38995.240070401298</v>
      </c>
      <c r="AH15" s="366">
        <v>38915.278266395602</v>
      </c>
      <c r="AI15" s="366">
        <v>38833.615375120098</v>
      </c>
      <c r="AJ15" s="366">
        <v>38750.233492371459</v>
      </c>
    </row>
    <row r="16" spans="1:36">
      <c r="A16" s="841"/>
      <c r="B16" s="367" t="s">
        <v>373</v>
      </c>
      <c r="C16" s="366">
        <v>67909.695203232724</v>
      </c>
      <c r="D16" s="366">
        <v>67526.767094026451</v>
      </c>
      <c r="E16" s="366">
        <v>67499.371927868691</v>
      </c>
      <c r="F16" s="366">
        <v>67471.557122673563</v>
      </c>
      <c r="G16" s="366">
        <v>67443.322678441036</v>
      </c>
      <c r="H16" s="366">
        <v>67414.668595171155</v>
      </c>
      <c r="I16" s="366">
        <v>67385.594872863876</v>
      </c>
      <c r="J16" s="366">
        <v>67356.101511519213</v>
      </c>
      <c r="K16" s="366">
        <v>67326.188511137167</v>
      </c>
      <c r="L16" s="366">
        <v>67295.855871717737</v>
      </c>
      <c r="M16" s="366">
        <v>67265.103593260937</v>
      </c>
      <c r="N16" s="366">
        <v>67233.93167576674</v>
      </c>
      <c r="O16" s="366">
        <v>67202.340119235174</v>
      </c>
      <c r="P16" s="366">
        <v>67170.328923666224</v>
      </c>
      <c r="Q16" s="366">
        <v>67137.898089059876</v>
      </c>
      <c r="R16" s="366">
        <v>67105.047615416159</v>
      </c>
      <c r="S16" s="366">
        <v>67071.777502735044</v>
      </c>
      <c r="T16" s="366">
        <v>67038.087751016559</v>
      </c>
      <c r="U16" s="366">
        <v>67003.978360260691</v>
      </c>
      <c r="V16" s="366">
        <v>66969.449330467425</v>
      </c>
      <c r="W16" s="366">
        <v>66934.50066163679</v>
      </c>
      <c r="X16" s="366">
        <v>66899.132353768786</v>
      </c>
      <c r="Y16" s="366">
        <v>66863.344406863383</v>
      </c>
      <c r="Z16" s="366">
        <v>66827.136820920612</v>
      </c>
      <c r="AA16" s="366">
        <v>66790.509595940428</v>
      </c>
      <c r="AB16" s="366">
        <v>66753.462731922875</v>
      </c>
      <c r="AC16" s="366">
        <v>66715.996228867953</v>
      </c>
      <c r="AD16" s="366">
        <v>66678.110086775632</v>
      </c>
      <c r="AE16" s="366">
        <v>66639.804305645928</v>
      </c>
      <c r="AF16" s="366">
        <v>66601.07888547887</v>
      </c>
      <c r="AG16" s="366">
        <v>66561.933826274413</v>
      </c>
      <c r="AH16" s="366">
        <v>66522.369128032558</v>
      </c>
      <c r="AI16" s="366">
        <v>66482.38479075332</v>
      </c>
      <c r="AJ16" s="366">
        <v>66441.980814436727</v>
      </c>
    </row>
    <row r="17" spans="1:40">
      <c r="A17" s="841"/>
      <c r="B17" s="367" t="s">
        <v>374</v>
      </c>
      <c r="C17" s="366">
        <v>257711.47585605131</v>
      </c>
      <c r="D17" s="366">
        <v>257964.37708014375</v>
      </c>
      <c r="E17" s="366">
        <v>257859.72262566572</v>
      </c>
      <c r="F17" s="366">
        <v>257753.46507470412</v>
      </c>
      <c r="G17" s="366">
        <v>257645.60442725889</v>
      </c>
      <c r="H17" s="366">
        <v>257536.14068333007</v>
      </c>
      <c r="I17" s="366">
        <v>257425.07384291766</v>
      </c>
      <c r="J17" s="366">
        <v>257312.40390602165</v>
      </c>
      <c r="K17" s="366">
        <v>257198.13087264207</v>
      </c>
      <c r="L17" s="366">
        <v>257082.2547427789</v>
      </c>
      <c r="M17" s="366">
        <v>256964.77551643207</v>
      </c>
      <c r="N17" s="366">
        <v>256845.69319360171</v>
      </c>
      <c r="O17" s="366">
        <v>256725.00777428772</v>
      </c>
      <c r="P17" s="366">
        <v>256602.71925849013</v>
      </c>
      <c r="Q17" s="366">
        <v>256478.82764620896</v>
      </c>
      <c r="R17" s="366">
        <v>256353.33293744424</v>
      </c>
      <c r="S17" s="366">
        <v>256226.23513219587</v>
      </c>
      <c r="T17" s="366">
        <v>256097.53423046393</v>
      </c>
      <c r="U17" s="366">
        <v>255967.2302322484</v>
      </c>
      <c r="V17" s="366">
        <v>255835.32313754922</v>
      </c>
      <c r="W17" s="366">
        <v>255701.81294636647</v>
      </c>
      <c r="X17" s="366">
        <v>255566.69965870021</v>
      </c>
      <c r="Y17" s="366">
        <v>255429.98327455026</v>
      </c>
      <c r="Z17" s="366">
        <v>255291.66379391676</v>
      </c>
      <c r="AA17" s="366">
        <v>255151.74121679968</v>
      </c>
      <c r="AB17" s="366">
        <v>255010.21554319901</v>
      </c>
      <c r="AC17" s="366">
        <v>254867.08677311472</v>
      </c>
      <c r="AD17" s="366">
        <v>254722.35490654677</v>
      </c>
      <c r="AE17" s="366">
        <v>254576.01994349528</v>
      </c>
      <c r="AF17" s="366">
        <v>254428.08188396023</v>
      </c>
      <c r="AG17" s="366">
        <v>254278.54072794158</v>
      </c>
      <c r="AH17" s="366">
        <v>254127.39647543928</v>
      </c>
      <c r="AI17" s="366">
        <v>253974.64912645344</v>
      </c>
      <c r="AJ17" s="366">
        <v>253820.29868098395</v>
      </c>
    </row>
    <row r="18" spans="1:40">
      <c r="A18" s="841"/>
      <c r="B18" s="367" t="s">
        <v>46</v>
      </c>
      <c r="C18" s="366">
        <f t="shared" ref="C18:AJ18" si="1">SUM(C11:C17)</f>
        <v>809682.42571439513</v>
      </c>
      <c r="D18" s="366">
        <f t="shared" si="1"/>
        <v>808555.95368389785</v>
      </c>
      <c r="E18" s="366">
        <f t="shared" si="1"/>
        <v>807416.43640756363</v>
      </c>
      <c r="F18" s="366">
        <f t="shared" si="1"/>
        <v>806264.01108795137</v>
      </c>
      <c r="G18" s="366">
        <f t="shared" si="1"/>
        <v>805098.81492761872</v>
      </c>
      <c r="H18" s="366">
        <f t="shared" si="1"/>
        <v>803920.98512912355</v>
      </c>
      <c r="I18" s="366">
        <f t="shared" si="1"/>
        <v>802730.65889502363</v>
      </c>
      <c r="J18" s="366">
        <f t="shared" si="1"/>
        <v>801527.9734278766</v>
      </c>
      <c r="K18" s="366">
        <f t="shared" si="1"/>
        <v>800313.06593024044</v>
      </c>
      <c r="L18" s="366">
        <f t="shared" si="1"/>
        <v>799086.07360467268</v>
      </c>
      <c r="M18" s="366">
        <f t="shared" si="1"/>
        <v>797847.13365373109</v>
      </c>
      <c r="N18" s="366">
        <f t="shared" si="1"/>
        <v>796596.38327997352</v>
      </c>
      <c r="O18" s="366">
        <f t="shared" si="1"/>
        <v>795333.95968595799</v>
      </c>
      <c r="P18" s="366">
        <f t="shared" si="1"/>
        <v>794060.00007424178</v>
      </c>
      <c r="Q18" s="366">
        <f t="shared" si="1"/>
        <v>792774.64164738287</v>
      </c>
      <c r="R18" s="366">
        <f t="shared" si="1"/>
        <v>791478.02160793904</v>
      </c>
      <c r="S18" s="366">
        <f t="shared" si="1"/>
        <v>790170.27715846803</v>
      </c>
      <c r="T18" s="366">
        <f t="shared" si="1"/>
        <v>788851.54550152749</v>
      </c>
      <c r="U18" s="366">
        <f t="shared" si="1"/>
        <v>787521.96383967565</v>
      </c>
      <c r="V18" s="366">
        <f t="shared" si="1"/>
        <v>786181.66937546944</v>
      </c>
      <c r="W18" s="366">
        <f t="shared" si="1"/>
        <v>784830.79931146733</v>
      </c>
      <c r="X18" s="366">
        <f t="shared" si="1"/>
        <v>783469.49085022695</v>
      </c>
      <c r="Y18" s="366">
        <f t="shared" si="1"/>
        <v>782097.88119430584</v>
      </c>
      <c r="Z18" s="366">
        <f t="shared" si="1"/>
        <v>780716.10754626174</v>
      </c>
      <c r="AA18" s="366">
        <f t="shared" si="1"/>
        <v>779324.30710865278</v>
      </c>
      <c r="AB18" s="366">
        <f t="shared" si="1"/>
        <v>777922.61708403646</v>
      </c>
      <c r="AC18" s="366">
        <f t="shared" si="1"/>
        <v>776511.17467497056</v>
      </c>
      <c r="AD18" s="366">
        <f t="shared" si="1"/>
        <v>775090.1170840126</v>
      </c>
      <c r="AE18" s="366">
        <f t="shared" si="1"/>
        <v>773659.5815137208</v>
      </c>
      <c r="AF18" s="366">
        <f t="shared" si="1"/>
        <v>772219.7051666528</v>
      </c>
      <c r="AG18" s="366">
        <f t="shared" si="1"/>
        <v>770770.62524536613</v>
      </c>
      <c r="AH18" s="366">
        <f t="shared" si="1"/>
        <v>769312.47895241878</v>
      </c>
      <c r="AI18" s="366">
        <f t="shared" si="1"/>
        <v>767845.40349036828</v>
      </c>
      <c r="AJ18" s="366">
        <f t="shared" si="1"/>
        <v>766369.53606177273</v>
      </c>
      <c r="AL18" s="362"/>
    </row>
    <row r="19" spans="1:40">
      <c r="A19" s="370"/>
    </row>
    <row r="20" spans="1:40">
      <c r="A20" s="841" t="s">
        <v>376</v>
      </c>
      <c r="B20" s="367" t="s">
        <v>368</v>
      </c>
      <c r="C20" s="366">
        <f t="shared" ref="C20:AJ20" si="2">C2+C11</f>
        <v>202860.16850706012</v>
      </c>
      <c r="D20" s="366">
        <f t="shared" si="2"/>
        <v>191342.23603912618</v>
      </c>
      <c r="E20" s="366">
        <f t="shared" si="2"/>
        <v>184509.3381020971</v>
      </c>
      <c r="F20" s="366">
        <f t="shared" si="2"/>
        <v>176840.22109525051</v>
      </c>
      <c r="G20" s="366">
        <f t="shared" si="2"/>
        <v>167128.9331468709</v>
      </c>
      <c r="H20" s="366">
        <f t="shared" si="2"/>
        <v>168745.2945304967</v>
      </c>
      <c r="I20" s="366">
        <f t="shared" si="2"/>
        <v>165114.13045501779</v>
      </c>
      <c r="J20" s="366">
        <f t="shared" si="2"/>
        <v>153667.36651316279</v>
      </c>
      <c r="K20" s="366">
        <f t="shared" si="2"/>
        <v>151410.97754264603</v>
      </c>
      <c r="L20" s="366">
        <f t="shared" si="2"/>
        <v>150916.74161591681</v>
      </c>
      <c r="M20" s="366">
        <f t="shared" si="2"/>
        <v>149966.60383257669</v>
      </c>
      <c r="N20" s="366">
        <f t="shared" si="2"/>
        <v>143924.48129213389</v>
      </c>
      <c r="O20" s="366">
        <f t="shared" si="2"/>
        <v>142877.93453617953</v>
      </c>
      <c r="P20" s="366">
        <f t="shared" si="2"/>
        <v>121017.4627668623</v>
      </c>
      <c r="Q20" s="366">
        <f t="shared" si="2"/>
        <v>116940.15195728373</v>
      </c>
      <c r="R20" s="366">
        <f t="shared" si="2"/>
        <v>112547.80997831249</v>
      </c>
      <c r="S20" s="366">
        <f t="shared" si="2"/>
        <v>107509.06887038451</v>
      </c>
      <c r="T20" s="366">
        <f t="shared" si="2"/>
        <v>103497.98552029612</v>
      </c>
      <c r="U20" s="366">
        <f t="shared" si="2"/>
        <v>99286.33594378017</v>
      </c>
      <c r="V20" s="366">
        <f t="shared" si="2"/>
        <v>97346.967595171023</v>
      </c>
      <c r="W20" s="366">
        <f t="shared" si="2"/>
        <v>97069.431867042265</v>
      </c>
      <c r="X20" s="366">
        <f t="shared" si="2"/>
        <v>95253.175110867916</v>
      </c>
      <c r="Y20" s="366">
        <f t="shared" si="2"/>
        <v>92460.013232393176</v>
      </c>
      <c r="Z20" s="366">
        <f t="shared" si="2"/>
        <v>91428.333427602513</v>
      </c>
      <c r="AA20" s="366">
        <f t="shared" si="2"/>
        <v>91540.275108211819</v>
      </c>
      <c r="AB20" s="366">
        <f t="shared" si="2"/>
        <v>90889.835255804894</v>
      </c>
      <c r="AC20" s="366">
        <f t="shared" si="2"/>
        <v>90241.236590735876</v>
      </c>
      <c r="AD20" s="366">
        <f t="shared" si="2"/>
        <v>88408.738419934933</v>
      </c>
      <c r="AE20" s="366">
        <f t="shared" si="2"/>
        <v>88090.162795162018</v>
      </c>
      <c r="AF20" s="366">
        <f t="shared" si="2"/>
        <v>85950.603090589007</v>
      </c>
      <c r="AG20" s="366">
        <f t="shared" si="2"/>
        <v>85531.119105161255</v>
      </c>
      <c r="AH20" s="366">
        <f t="shared" si="2"/>
        <v>85431.72604355088</v>
      </c>
      <c r="AI20" s="366">
        <f t="shared" si="2"/>
        <v>85012.872693255835</v>
      </c>
      <c r="AJ20" s="366">
        <f t="shared" si="2"/>
        <v>84594.938942434339</v>
      </c>
    </row>
    <row r="21" spans="1:40">
      <c r="A21" s="841"/>
      <c r="B21" s="367" t="s">
        <v>369</v>
      </c>
      <c r="C21" s="366">
        <f t="shared" ref="C21:AJ21" si="3">C3+C12</f>
        <v>796451.00640456588</v>
      </c>
      <c r="D21" s="366">
        <f t="shared" si="3"/>
        <v>751230.35528661846</v>
      </c>
      <c r="E21" s="366">
        <f t="shared" si="3"/>
        <v>724403.65747473587</v>
      </c>
      <c r="F21" s="366">
        <f t="shared" si="3"/>
        <v>694293.87297002284</v>
      </c>
      <c r="G21" s="366">
        <f t="shared" si="3"/>
        <v>656166.30402983294</v>
      </c>
      <c r="H21" s="366">
        <f t="shared" si="3"/>
        <v>662512.31399411766</v>
      </c>
      <c r="I21" s="366">
        <f t="shared" si="3"/>
        <v>648255.97030861664</v>
      </c>
      <c r="J21" s="366">
        <f t="shared" si="3"/>
        <v>603314.7345369003</v>
      </c>
      <c r="K21" s="366">
        <f t="shared" si="3"/>
        <v>594455.90690388612</v>
      </c>
      <c r="L21" s="366">
        <f t="shared" si="3"/>
        <v>592515.48309303296</v>
      </c>
      <c r="M21" s="366">
        <f t="shared" si="3"/>
        <v>588785.13918504247</v>
      </c>
      <c r="N21" s="366">
        <f t="shared" si="3"/>
        <v>565063.11127995432</v>
      </c>
      <c r="O21" s="366">
        <f t="shared" si="3"/>
        <v>560954.25529721717</v>
      </c>
      <c r="P21" s="366">
        <f t="shared" si="3"/>
        <v>475127.67401571071</v>
      </c>
      <c r="Q21" s="366">
        <f t="shared" si="3"/>
        <v>459119.70990125672</v>
      </c>
      <c r="R21" s="366">
        <f t="shared" si="3"/>
        <v>441874.89927445841</v>
      </c>
      <c r="S21" s="366">
        <f t="shared" si="3"/>
        <v>422092.25561426824</v>
      </c>
      <c r="T21" s="366">
        <f t="shared" si="3"/>
        <v>406344.30768313294</v>
      </c>
      <c r="U21" s="366">
        <f t="shared" si="3"/>
        <v>389808.91501080192</v>
      </c>
      <c r="V21" s="366">
        <f t="shared" si="3"/>
        <v>382194.74469631171</v>
      </c>
      <c r="W21" s="366">
        <f t="shared" si="3"/>
        <v>381105.10934991465</v>
      </c>
      <c r="X21" s="366">
        <f t="shared" si="3"/>
        <v>373974.28848946659</v>
      </c>
      <c r="Y21" s="366">
        <f t="shared" si="3"/>
        <v>363008.03224737605</v>
      </c>
      <c r="Z21" s="366">
        <f t="shared" si="3"/>
        <v>358957.54552610434</v>
      </c>
      <c r="AA21" s="366">
        <f t="shared" si="3"/>
        <v>359397.04069578723</v>
      </c>
      <c r="AB21" s="366">
        <f t="shared" si="3"/>
        <v>356843.34334421909</v>
      </c>
      <c r="AC21" s="366">
        <f t="shared" si="3"/>
        <v>354296.87469367729</v>
      </c>
      <c r="AD21" s="366">
        <f t="shared" si="3"/>
        <v>347102.28827925178</v>
      </c>
      <c r="AE21" s="366">
        <f t="shared" si="3"/>
        <v>345851.52585095621</v>
      </c>
      <c r="AF21" s="366">
        <f t="shared" si="3"/>
        <v>337451.38257733698</v>
      </c>
      <c r="AG21" s="366">
        <f t="shared" si="3"/>
        <v>335804.44298922911</v>
      </c>
      <c r="AH21" s="366">
        <f t="shared" si="3"/>
        <v>335414.21505768492</v>
      </c>
      <c r="AI21" s="366">
        <f t="shared" si="3"/>
        <v>333769.7514114526</v>
      </c>
      <c r="AJ21" s="366">
        <f t="shared" si="3"/>
        <v>332128.89821241453</v>
      </c>
    </row>
    <row r="22" spans="1:40">
      <c r="A22" s="841"/>
      <c r="B22" s="367" t="s">
        <v>370</v>
      </c>
      <c r="C22" s="366">
        <f t="shared" ref="C22:AJ22" si="4">C4+C13</f>
        <v>56664.70402402585</v>
      </c>
      <c r="D22" s="366">
        <f t="shared" si="4"/>
        <v>52978.719827592446</v>
      </c>
      <c r="E22" s="366">
        <f t="shared" si="4"/>
        <v>50832.42481236819</v>
      </c>
      <c r="F22" s="366">
        <f t="shared" si="4"/>
        <v>48401.124199944352</v>
      </c>
      <c r="G22" s="366">
        <f t="shared" si="4"/>
        <v>45282.405786015013</v>
      </c>
      <c r="H22" s="366">
        <f t="shared" si="4"/>
        <v>45925.457766393905</v>
      </c>
      <c r="I22" s="366">
        <f t="shared" si="4"/>
        <v>44819.855365536459</v>
      </c>
      <c r="J22" s="366">
        <f t="shared" si="4"/>
        <v>41098.569523168837</v>
      </c>
      <c r="K22" s="366">
        <f t="shared" si="4"/>
        <v>40440.704691235034</v>
      </c>
      <c r="L22" s="366">
        <f t="shared" si="4"/>
        <v>40371.114105867331</v>
      </c>
      <c r="M22" s="366">
        <f t="shared" si="4"/>
        <v>40147.803477954374</v>
      </c>
      <c r="N22" s="366">
        <f t="shared" si="4"/>
        <v>38210.49387341096</v>
      </c>
      <c r="O22" s="366">
        <f t="shared" si="4"/>
        <v>37949.545877495235</v>
      </c>
      <c r="P22" s="366">
        <f t="shared" si="4"/>
        <v>30663.216056126184</v>
      </c>
      <c r="Q22" s="366">
        <f t="shared" si="4"/>
        <v>29363.923278787748</v>
      </c>
      <c r="R22" s="366">
        <f t="shared" si="4"/>
        <v>27953.425356351006</v>
      </c>
      <c r="S22" s="366">
        <f t="shared" si="4"/>
        <v>26318.88109188624</v>
      </c>
      <c r="T22" s="366">
        <f t="shared" si="4"/>
        <v>25027.804184855613</v>
      </c>
      <c r="U22" s="366">
        <f t="shared" si="4"/>
        <v>23664.101693048324</v>
      </c>
      <c r="V22" s="366">
        <f t="shared" si="4"/>
        <v>23069.816020342223</v>
      </c>
      <c r="W22" s="366">
        <f t="shared" si="4"/>
        <v>23040.194022117503</v>
      </c>
      <c r="X22" s="366">
        <f t="shared" si="4"/>
        <v>22484.317369206205</v>
      </c>
      <c r="Y22" s="366">
        <f t="shared" si="4"/>
        <v>21592.096472205449</v>
      </c>
      <c r="Z22" s="366">
        <f t="shared" si="4"/>
        <v>21300.303489783666</v>
      </c>
      <c r="AA22" s="366">
        <f t="shared" si="4"/>
        <v>21399.503416402986</v>
      </c>
      <c r="AB22" s="366">
        <f t="shared" si="4"/>
        <v>21236.485864564831</v>
      </c>
      <c r="AC22" s="366">
        <f t="shared" si="4"/>
        <v>21073.058951520259</v>
      </c>
      <c r="AD22" s="366">
        <f t="shared" si="4"/>
        <v>20500.778705669629</v>
      </c>
      <c r="AE22" s="366">
        <f t="shared" si="4"/>
        <v>20448.513260462307</v>
      </c>
      <c r="AF22" s="366">
        <f t="shared" si="4"/>
        <v>19766.637070654066</v>
      </c>
      <c r="AG22" s="366">
        <f t="shared" si="4"/>
        <v>19677.089907788319</v>
      </c>
      <c r="AH22" s="366">
        <f t="shared" si="4"/>
        <v>19697.411579432024</v>
      </c>
      <c r="AI22" s="366">
        <f t="shared" si="4"/>
        <v>19606.336671664998</v>
      </c>
      <c r="AJ22" s="366">
        <f t="shared" si="4"/>
        <v>19514.605277295792</v>
      </c>
    </row>
    <row r="23" spans="1:40">
      <c r="A23" s="841"/>
      <c r="B23" s="367" t="s">
        <v>371</v>
      </c>
      <c r="C23" s="366">
        <f t="shared" ref="C23:AJ23" si="5">C5+C14</f>
        <v>532479.33362543595</v>
      </c>
      <c r="D23" s="366">
        <f t="shared" si="5"/>
        <v>497842.06793287065</v>
      </c>
      <c r="E23" s="366">
        <f t="shared" si="5"/>
        <v>477673.29163456633</v>
      </c>
      <c r="F23" s="366">
        <f t="shared" si="5"/>
        <v>454826.31215687172</v>
      </c>
      <c r="G23" s="366">
        <f t="shared" si="5"/>
        <v>425519.65413373342</v>
      </c>
      <c r="H23" s="366">
        <f t="shared" si="5"/>
        <v>431562.42618904123</v>
      </c>
      <c r="I23" s="366">
        <f t="shared" si="5"/>
        <v>421173.05877235712</v>
      </c>
      <c r="J23" s="366">
        <f t="shared" si="5"/>
        <v>386204.06282148242</v>
      </c>
      <c r="K23" s="366">
        <f t="shared" si="5"/>
        <v>380022.09410996852</v>
      </c>
      <c r="L23" s="366">
        <f t="shared" si="5"/>
        <v>379368.15001617291</v>
      </c>
      <c r="M23" s="366">
        <f t="shared" si="5"/>
        <v>377269.69567161018</v>
      </c>
      <c r="N23" s="366">
        <f t="shared" si="5"/>
        <v>359064.75937094499</v>
      </c>
      <c r="O23" s="366">
        <f t="shared" si="5"/>
        <v>356612.62594204396</v>
      </c>
      <c r="P23" s="366">
        <f t="shared" si="5"/>
        <v>288142.84189071134</v>
      </c>
      <c r="Q23" s="366">
        <f t="shared" si="5"/>
        <v>275933.36221235333</v>
      </c>
      <c r="R23" s="366">
        <f t="shared" si="5"/>
        <v>262678.88560729206</v>
      </c>
      <c r="S23" s="366">
        <f t="shared" si="5"/>
        <v>247319.04113771801</v>
      </c>
      <c r="T23" s="366">
        <f t="shared" si="5"/>
        <v>235186.76615356968</v>
      </c>
      <c r="U23" s="366">
        <f t="shared" si="5"/>
        <v>222372.02712673196</v>
      </c>
      <c r="V23" s="366">
        <f t="shared" si="5"/>
        <v>216787.51301982848</v>
      </c>
      <c r="W23" s="366">
        <f t="shared" si="5"/>
        <v>216509.15452229418</v>
      </c>
      <c r="X23" s="366">
        <f t="shared" si="5"/>
        <v>211285.57072673348</v>
      </c>
      <c r="Y23" s="366">
        <f t="shared" si="5"/>
        <v>202901.35348137005</v>
      </c>
      <c r="Z23" s="366">
        <f t="shared" si="5"/>
        <v>200159.36911009985</v>
      </c>
      <c r="AA23" s="366">
        <f t="shared" si="5"/>
        <v>201091.55276360578</v>
      </c>
      <c r="AB23" s="366">
        <f t="shared" si="5"/>
        <v>199559.67363589996</v>
      </c>
      <c r="AC23" s="366">
        <f t="shared" si="5"/>
        <v>198023.94773291925</v>
      </c>
      <c r="AD23" s="366">
        <f t="shared" si="5"/>
        <v>192646.21905320461</v>
      </c>
      <c r="AE23" s="366">
        <f t="shared" si="5"/>
        <v>192155.07964084958</v>
      </c>
      <c r="AF23" s="366">
        <f t="shared" si="5"/>
        <v>185747.47572907066</v>
      </c>
      <c r="AG23" s="366">
        <f t="shared" si="5"/>
        <v>184905.99928562919</v>
      </c>
      <c r="AH23" s="366">
        <f t="shared" si="5"/>
        <v>185096.96243211289</v>
      </c>
      <c r="AI23" s="366">
        <f t="shared" si="5"/>
        <v>184241.12973990961</v>
      </c>
      <c r="AJ23" s="366">
        <f t="shared" si="5"/>
        <v>183379.12803024676</v>
      </c>
    </row>
    <row r="24" spans="1:40">
      <c r="A24" s="841"/>
      <c r="B24" s="367" t="s">
        <v>372</v>
      </c>
      <c r="C24" s="366">
        <f t="shared" ref="C24:AJ24" si="6">C6+C15</f>
        <v>201719.28730922961</v>
      </c>
      <c r="D24" s="366">
        <f t="shared" si="6"/>
        <v>188597.64275211043</v>
      </c>
      <c r="E24" s="366">
        <f t="shared" si="6"/>
        <v>180957.09987302267</v>
      </c>
      <c r="F24" s="366">
        <f t="shared" si="6"/>
        <v>172301.97257253088</v>
      </c>
      <c r="G24" s="366">
        <f t="shared" si="6"/>
        <v>161199.72353388317</v>
      </c>
      <c r="H24" s="366">
        <f t="shared" si="6"/>
        <v>163488.90847570903</v>
      </c>
      <c r="I24" s="366">
        <f t="shared" si="6"/>
        <v>159553.10165928624</v>
      </c>
      <c r="J24" s="366">
        <f t="shared" si="6"/>
        <v>146305.78764035055</v>
      </c>
      <c r="K24" s="366">
        <f t="shared" si="6"/>
        <v>143963.87079230297</v>
      </c>
      <c r="L24" s="366">
        <f t="shared" si="6"/>
        <v>143716.13697765442</v>
      </c>
      <c r="M24" s="366">
        <f t="shared" si="6"/>
        <v>142921.17896124831</v>
      </c>
      <c r="N24" s="366">
        <f t="shared" si="6"/>
        <v>136024.59810978692</v>
      </c>
      <c r="O24" s="366">
        <f t="shared" si="6"/>
        <v>135095.65575197325</v>
      </c>
      <c r="P24" s="366">
        <f t="shared" si="6"/>
        <v>109157.22928382552</v>
      </c>
      <c r="Q24" s="366">
        <f t="shared" si="6"/>
        <v>104531.90885614602</v>
      </c>
      <c r="R24" s="366">
        <f t="shared" si="6"/>
        <v>99510.71196531874</v>
      </c>
      <c r="S24" s="366">
        <f t="shared" si="6"/>
        <v>93691.938007487362</v>
      </c>
      <c r="T24" s="366">
        <f t="shared" si="6"/>
        <v>89095.865054610098</v>
      </c>
      <c r="U24" s="366">
        <f t="shared" si="6"/>
        <v>84241.254067273927</v>
      </c>
      <c r="V24" s="366">
        <f t="shared" si="6"/>
        <v>82125.671105691174</v>
      </c>
      <c r="W24" s="366">
        <f t="shared" si="6"/>
        <v>82020.220482177261</v>
      </c>
      <c r="X24" s="366">
        <f t="shared" si="6"/>
        <v>80041.368846252997</v>
      </c>
      <c r="Y24" s="366">
        <f t="shared" si="6"/>
        <v>76865.173601518589</v>
      </c>
      <c r="Z24" s="366">
        <f t="shared" si="6"/>
        <v>75826.426934263407</v>
      </c>
      <c r="AA24" s="366">
        <f t="shared" si="6"/>
        <v>76179.56631517841</v>
      </c>
      <c r="AB24" s="366">
        <f t="shared" si="6"/>
        <v>75599.244138577196</v>
      </c>
      <c r="AC24" s="366">
        <f t="shared" si="6"/>
        <v>75017.464687077343</v>
      </c>
      <c r="AD24" s="366">
        <f t="shared" si="6"/>
        <v>72980.218303769798</v>
      </c>
      <c r="AE24" s="366">
        <f t="shared" si="6"/>
        <v>72794.159829809534</v>
      </c>
      <c r="AF24" s="366">
        <f t="shared" si="6"/>
        <v>70366.765538948443</v>
      </c>
      <c r="AG24" s="366">
        <f t="shared" si="6"/>
        <v>70047.988794501289</v>
      </c>
      <c r="AH24" s="366">
        <f t="shared" si="6"/>
        <v>70120.331413976761</v>
      </c>
      <c r="AI24" s="366">
        <f t="shared" si="6"/>
        <v>69796.116088000126</v>
      </c>
      <c r="AJ24" s="366">
        <f t="shared" si="6"/>
        <v>69469.563751501672</v>
      </c>
    </row>
    <row r="25" spans="1:40">
      <c r="A25" s="841"/>
      <c r="B25" s="367" t="s">
        <v>373</v>
      </c>
      <c r="C25" s="366">
        <f t="shared" ref="C25:AJ25" si="7">C7+C16</f>
        <v>363255.99253050808</v>
      </c>
      <c r="D25" s="366">
        <f t="shared" si="7"/>
        <v>337591.68224434432</v>
      </c>
      <c r="E25" s="366">
        <f t="shared" si="7"/>
        <v>323825.16220117599</v>
      </c>
      <c r="F25" s="366">
        <f t="shared" si="7"/>
        <v>308197.07091473491</v>
      </c>
      <c r="G25" s="366">
        <f t="shared" si="7"/>
        <v>288083.83495391614</v>
      </c>
      <c r="H25" s="366">
        <f t="shared" si="7"/>
        <v>292455.62834664283</v>
      </c>
      <c r="I25" s="366">
        <f t="shared" si="7"/>
        <v>285443.38807470014</v>
      </c>
      <c r="J25" s="366">
        <f t="shared" si="7"/>
        <v>261370.26942426525</v>
      </c>
      <c r="K25" s="366">
        <f t="shared" si="7"/>
        <v>257264.6025836037</v>
      </c>
      <c r="L25" s="366">
        <f t="shared" si="7"/>
        <v>257002.21049128473</v>
      </c>
      <c r="M25" s="366">
        <f t="shared" si="7"/>
        <v>255741.85578020569</v>
      </c>
      <c r="N25" s="366">
        <f t="shared" si="7"/>
        <v>243275.60683163852</v>
      </c>
      <c r="O25" s="366">
        <f t="shared" si="7"/>
        <v>241770.56122480222</v>
      </c>
      <c r="P25" s="366">
        <f t="shared" si="7"/>
        <v>194242.45789760235</v>
      </c>
      <c r="Q25" s="366">
        <f t="shared" si="7"/>
        <v>185898.47017745132</v>
      </c>
      <c r="R25" s="366">
        <f t="shared" si="7"/>
        <v>176815.75118575408</v>
      </c>
      <c r="S25" s="366">
        <f t="shared" si="7"/>
        <v>166250.34286598919</v>
      </c>
      <c r="T25" s="366">
        <f t="shared" si="7"/>
        <v>157928.89688505846</v>
      </c>
      <c r="U25" s="366">
        <f t="shared" si="7"/>
        <v>149118.4814907049</v>
      </c>
      <c r="V25" s="366">
        <f t="shared" si="7"/>
        <v>145364.73540041462</v>
      </c>
      <c r="W25" s="366">
        <f t="shared" si="7"/>
        <v>145332.37542429322</v>
      </c>
      <c r="X25" s="366">
        <f t="shared" si="7"/>
        <v>141830.30891719292</v>
      </c>
      <c r="Y25" s="366">
        <f t="shared" si="7"/>
        <v>136102.2783755917</v>
      </c>
      <c r="Z25" s="366">
        <f t="shared" si="7"/>
        <v>134339.49871316025</v>
      </c>
      <c r="AA25" s="366">
        <f t="shared" si="7"/>
        <v>135167.99458682741</v>
      </c>
      <c r="AB25" s="366">
        <f t="shared" si="7"/>
        <v>134264.04778475966</v>
      </c>
      <c r="AC25" s="366">
        <f t="shared" si="7"/>
        <v>133360.18228364937</v>
      </c>
      <c r="AD25" s="366">
        <f t="shared" si="7"/>
        <v>129739.97190159044</v>
      </c>
      <c r="AE25" s="366">
        <f t="shared" si="7"/>
        <v>129578.29862688774</v>
      </c>
      <c r="AF25" s="366">
        <f t="shared" si="7"/>
        <v>125222.62273831507</v>
      </c>
      <c r="AG25" s="366">
        <f t="shared" si="7"/>
        <v>124815.46625991107</v>
      </c>
      <c r="AH25" s="366">
        <f t="shared" si="7"/>
        <v>125147.03467523521</v>
      </c>
      <c r="AI25" s="366">
        <f t="shared" si="7"/>
        <v>124738.65531502228</v>
      </c>
      <c r="AJ25" s="366">
        <f t="shared" si="7"/>
        <v>124329.89144361176</v>
      </c>
    </row>
    <row r="26" spans="1:40">
      <c r="A26" s="841"/>
      <c r="B26" s="367" t="s">
        <v>374</v>
      </c>
      <c r="C26" s="366">
        <f t="shared" ref="C26:AJ26" si="8">C8+C17</f>
        <v>1378525.3735630903</v>
      </c>
      <c r="D26" s="366">
        <f t="shared" si="8"/>
        <v>1289660.8525081305</v>
      </c>
      <c r="E26" s="366">
        <f t="shared" si="8"/>
        <v>1237070.2736854791</v>
      </c>
      <c r="F26" s="366">
        <f t="shared" si="8"/>
        <v>1177368.1584036262</v>
      </c>
      <c r="G26" s="366">
        <f t="shared" si="8"/>
        <v>1100531.9850018411</v>
      </c>
      <c r="H26" s="366">
        <f t="shared" si="8"/>
        <v>1117233.0208696991</v>
      </c>
      <c r="I26" s="366">
        <f t="shared" si="8"/>
        <v>1090445.0037391114</v>
      </c>
      <c r="J26" s="366">
        <f t="shared" si="8"/>
        <v>998481.36732825206</v>
      </c>
      <c r="K26" s="366">
        <f t="shared" si="8"/>
        <v>982796.9826815665</v>
      </c>
      <c r="L26" s="366">
        <f t="shared" si="8"/>
        <v>981794.59776727646</v>
      </c>
      <c r="M26" s="366">
        <f t="shared" si="8"/>
        <v>976979.81643040571</v>
      </c>
      <c r="N26" s="366">
        <f t="shared" si="8"/>
        <v>929356.50669805508</v>
      </c>
      <c r="O26" s="366">
        <f t="shared" si="8"/>
        <v>923606.96219662623</v>
      </c>
      <c r="P26" s="366">
        <f t="shared" si="8"/>
        <v>742041.07216179254</v>
      </c>
      <c r="Q26" s="366">
        <f t="shared" si="8"/>
        <v>710165.54061744991</v>
      </c>
      <c r="R26" s="366">
        <f t="shared" si="8"/>
        <v>675467.92295089283</v>
      </c>
      <c r="S26" s="366">
        <f t="shared" si="8"/>
        <v>635106.16578265105</v>
      </c>
      <c r="T26" s="366">
        <f t="shared" si="8"/>
        <v>603316.74773028353</v>
      </c>
      <c r="U26" s="366">
        <f t="shared" si="8"/>
        <v>569659.37870716653</v>
      </c>
      <c r="V26" s="366">
        <f t="shared" si="8"/>
        <v>555319.39452651667</v>
      </c>
      <c r="W26" s="366">
        <f t="shared" si="8"/>
        <v>555195.77360637311</v>
      </c>
      <c r="X26" s="366">
        <f t="shared" si="8"/>
        <v>541817.25063133682</v>
      </c>
      <c r="Y26" s="366">
        <f t="shared" si="8"/>
        <v>519935.14529520099</v>
      </c>
      <c r="Z26" s="366">
        <f t="shared" si="8"/>
        <v>513201.01041627966</v>
      </c>
      <c r="AA26" s="366">
        <f t="shared" si="8"/>
        <v>516366.01343895402</v>
      </c>
      <c r="AB26" s="366">
        <f t="shared" si="8"/>
        <v>512912.77431994956</v>
      </c>
      <c r="AC26" s="366">
        <f t="shared" si="8"/>
        <v>509459.8457852031</v>
      </c>
      <c r="AD26" s="366">
        <f t="shared" si="8"/>
        <v>495629.99199098058</v>
      </c>
      <c r="AE26" s="366">
        <f t="shared" si="8"/>
        <v>495012.37104755355</v>
      </c>
      <c r="AF26" s="366">
        <f t="shared" si="8"/>
        <v>478372.9069400226</v>
      </c>
      <c r="AG26" s="366">
        <f t="shared" si="8"/>
        <v>476817.49607340468</v>
      </c>
      <c r="AH26" s="366">
        <f t="shared" si="8"/>
        <v>478084.14696459036</v>
      </c>
      <c r="AI26" s="366">
        <f t="shared" si="8"/>
        <v>476524.06446985126</v>
      </c>
      <c r="AJ26" s="366">
        <f t="shared" si="8"/>
        <v>474962.51307328488</v>
      </c>
    </row>
    <row r="27" spans="1:40">
      <c r="A27" s="841"/>
      <c r="B27" s="367" t="s">
        <v>46</v>
      </c>
      <c r="C27" s="366">
        <f t="shared" ref="C27:AJ27" si="9">SUM(C20:C26)</f>
        <v>3531955.8659639158</v>
      </c>
      <c r="D27" s="366">
        <f t="shared" si="9"/>
        <v>3309243.5565907932</v>
      </c>
      <c r="E27" s="366">
        <f t="shared" si="9"/>
        <v>3179271.2477834448</v>
      </c>
      <c r="F27" s="366">
        <f t="shared" si="9"/>
        <v>3032228.732312981</v>
      </c>
      <c r="G27" s="366">
        <f t="shared" si="9"/>
        <v>2843912.8405860928</v>
      </c>
      <c r="H27" s="366">
        <f t="shared" si="9"/>
        <v>2881923.0501721008</v>
      </c>
      <c r="I27" s="366">
        <f t="shared" si="9"/>
        <v>2814804.5083746258</v>
      </c>
      <c r="J27" s="366">
        <f t="shared" si="9"/>
        <v>2590442.1577875824</v>
      </c>
      <c r="K27" s="366">
        <f t="shared" si="9"/>
        <v>2550355.1393052088</v>
      </c>
      <c r="L27" s="366">
        <f t="shared" si="9"/>
        <v>2545684.4340672055</v>
      </c>
      <c r="M27" s="366">
        <f t="shared" si="9"/>
        <v>2531812.0933390437</v>
      </c>
      <c r="N27" s="366">
        <f t="shared" si="9"/>
        <v>2414919.5574559248</v>
      </c>
      <c r="O27" s="366">
        <f t="shared" si="9"/>
        <v>2398867.5408263374</v>
      </c>
      <c r="P27" s="366">
        <f t="shared" si="9"/>
        <v>1960391.954072631</v>
      </c>
      <c r="Q27" s="366">
        <f t="shared" si="9"/>
        <v>1881953.0670007288</v>
      </c>
      <c r="R27" s="366">
        <f t="shared" si="9"/>
        <v>1796849.4063183796</v>
      </c>
      <c r="S27" s="366">
        <f t="shared" si="9"/>
        <v>1698287.6933703846</v>
      </c>
      <c r="T27" s="366">
        <f t="shared" si="9"/>
        <v>1620398.3732118066</v>
      </c>
      <c r="U27" s="366">
        <f t="shared" si="9"/>
        <v>1538150.4940395078</v>
      </c>
      <c r="V27" s="366">
        <f t="shared" si="9"/>
        <v>1502208.8423642758</v>
      </c>
      <c r="W27" s="366">
        <f t="shared" si="9"/>
        <v>1500272.2592742122</v>
      </c>
      <c r="X27" s="366">
        <f t="shared" si="9"/>
        <v>1466686.2800910571</v>
      </c>
      <c r="Y27" s="366">
        <f t="shared" si="9"/>
        <v>1412864.0927056561</v>
      </c>
      <c r="Z27" s="366">
        <f t="shared" si="9"/>
        <v>1395212.4876172938</v>
      </c>
      <c r="AA27" s="366">
        <f t="shared" si="9"/>
        <v>1401141.9463249675</v>
      </c>
      <c r="AB27" s="366">
        <f t="shared" si="9"/>
        <v>1391305.4043437752</v>
      </c>
      <c r="AC27" s="366">
        <f t="shared" si="9"/>
        <v>1381472.6107247823</v>
      </c>
      <c r="AD27" s="366">
        <f t="shared" si="9"/>
        <v>1347008.206654402</v>
      </c>
      <c r="AE27" s="366">
        <f t="shared" si="9"/>
        <v>1343930.111051681</v>
      </c>
      <c r="AF27" s="366">
        <f t="shared" si="9"/>
        <v>1302878.3936849367</v>
      </c>
      <c r="AG27" s="366">
        <f t="shared" si="9"/>
        <v>1297599.602415625</v>
      </c>
      <c r="AH27" s="366">
        <f t="shared" si="9"/>
        <v>1298991.8281665831</v>
      </c>
      <c r="AI27" s="366">
        <f t="shared" si="9"/>
        <v>1293688.9263891568</v>
      </c>
      <c r="AJ27" s="366">
        <f t="shared" si="9"/>
        <v>1288379.5387307899</v>
      </c>
    </row>
    <row r="28" spans="1:40">
      <c r="A28" s="364"/>
      <c r="B28" s="365"/>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L28" s="362"/>
    </row>
    <row r="29" spans="1:40">
      <c r="A29" s="841" t="s">
        <v>377</v>
      </c>
      <c r="B29" s="367" t="s">
        <v>368</v>
      </c>
      <c r="D29" s="366">
        <v>662.69144960711981</v>
      </c>
      <c r="E29" s="366">
        <v>1244.9564395494049</v>
      </c>
      <c r="F29" s="366">
        <v>1735.427705609032</v>
      </c>
      <c r="G29" s="366">
        <v>2098.3643836297229</v>
      </c>
      <c r="H29" s="366">
        <v>2646.5461952347123</v>
      </c>
      <c r="I29" s="366">
        <v>3043.8357847988482</v>
      </c>
      <c r="J29" s="366">
        <v>3124.7617665080461</v>
      </c>
      <c r="K29" s="366">
        <v>3457.0866361992857</v>
      </c>
      <c r="L29" s="366">
        <v>3840.4946104884107</v>
      </c>
      <c r="M29" s="366">
        <v>4190.9004827000836</v>
      </c>
      <c r="N29" s="366">
        <v>4255.7309234611002</v>
      </c>
      <c r="O29" s="366">
        <v>4549.4255118448973</v>
      </c>
      <c r="P29" s="366">
        <v>3544.6523657341149</v>
      </c>
      <c r="Q29" s="366">
        <v>3524.3076694907941</v>
      </c>
      <c r="R29" s="366">
        <v>3445.3134901707508</v>
      </c>
      <c r="S29" s="366">
        <v>3280.6545482086613</v>
      </c>
      <c r="T29" s="366">
        <v>3153.8619123681638</v>
      </c>
      <c r="U29" s="366">
        <v>2978.0478160931184</v>
      </c>
      <c r="V29" s="366">
        <v>2961.8305937725181</v>
      </c>
      <c r="W29" s="366">
        <v>3076.3625359889124</v>
      </c>
      <c r="X29" s="366">
        <v>3045.6362806473421</v>
      </c>
      <c r="Y29" s="366">
        <v>2907.8077155216997</v>
      </c>
      <c r="Z29" s="366">
        <v>2922.8103160054293</v>
      </c>
      <c r="AA29" s="366">
        <v>3045.1447595673399</v>
      </c>
      <c r="AB29" s="366">
        <v>3086.6217498792043</v>
      </c>
      <c r="AC29" s="366">
        <v>3122.3778237877409</v>
      </c>
      <c r="AD29" s="366">
        <v>3022.3541905339239</v>
      </c>
      <c r="AE29" s="366">
        <v>3080.6115498616691</v>
      </c>
      <c r="AF29" s="366">
        <v>2925.7975623533284</v>
      </c>
      <c r="AG29" s="366">
        <v>2960.2843877673363</v>
      </c>
      <c r="AH29" s="366">
        <v>3029.0245171450247</v>
      </c>
      <c r="AI29" s="366">
        <v>3056.2531985635642</v>
      </c>
      <c r="AJ29" s="366">
        <v>3079.6019394631689</v>
      </c>
    </row>
    <row r="30" spans="1:40">
      <c r="A30" s="841"/>
      <c r="B30" s="367" t="s">
        <v>369</v>
      </c>
      <c r="D30" s="366">
        <v>2601.7984499353283</v>
      </c>
      <c r="E30" s="366">
        <v>4887.8339030584748</v>
      </c>
      <c r="F30" s="366">
        <v>6813.4772481300051</v>
      </c>
      <c r="G30" s="366">
        <v>8238.4059790782758</v>
      </c>
      <c r="H30" s="366">
        <v>10390.627180305724</v>
      </c>
      <c r="I30" s="366">
        <v>11950.429164949128</v>
      </c>
      <c r="J30" s="366">
        <v>12268.153339442917</v>
      </c>
      <c r="K30" s="366">
        <v>13572.896793353802</v>
      </c>
      <c r="L30" s="366">
        <v>15078.198052016045</v>
      </c>
      <c r="M30" s="366">
        <v>16453.929481339706</v>
      </c>
      <c r="N30" s="366">
        <v>16708.460817726544</v>
      </c>
      <c r="O30" s="366">
        <v>17861.537600691503</v>
      </c>
      <c r="P30" s="366">
        <v>13916.689337389589</v>
      </c>
      <c r="Q30" s="366">
        <v>13836.813855094393</v>
      </c>
      <c r="R30" s="366">
        <v>13526.674146138359</v>
      </c>
      <c r="S30" s="366">
        <v>12880.205295183736</v>
      </c>
      <c r="T30" s="366">
        <v>12382.403665800135</v>
      </c>
      <c r="U30" s="366">
        <v>11692.138470079883</v>
      </c>
      <c r="V30" s="366">
        <v>11628.467897717712</v>
      </c>
      <c r="W30" s="366">
        <v>12078.132715188</v>
      </c>
      <c r="X30" s="366">
        <v>11957.498106777995</v>
      </c>
      <c r="Y30" s="366">
        <v>11416.368223008845</v>
      </c>
      <c r="Z30" s="366">
        <v>11475.270058405564</v>
      </c>
      <c r="AA30" s="366">
        <v>11955.568341749618</v>
      </c>
      <c r="AB30" s="366">
        <v>12118.411500757275</v>
      </c>
      <c r="AC30" s="366">
        <v>12258.793721964694</v>
      </c>
      <c r="AD30" s="366">
        <v>11866.090097810533</v>
      </c>
      <c r="AE30" s="366">
        <v>12094.814804136702</v>
      </c>
      <c r="AF30" s="366">
        <v>11486.998311308393</v>
      </c>
      <c r="AG30" s="366">
        <v>11622.397325372256</v>
      </c>
      <c r="AH30" s="366">
        <v>11892.278522978258</v>
      </c>
      <c r="AI30" s="366">
        <v>11999.181277119031</v>
      </c>
      <c r="AJ30" s="366">
        <v>12090.850964296296</v>
      </c>
      <c r="AL30" s="337" t="s">
        <v>378</v>
      </c>
      <c r="AM30" s="337" t="s">
        <v>379</v>
      </c>
      <c r="AN30" s="337" t="s">
        <v>380</v>
      </c>
    </row>
    <row r="31" spans="1:40">
      <c r="A31" s="841"/>
      <c r="B31" s="367" t="s">
        <v>370</v>
      </c>
      <c r="D31" s="366">
        <v>733.49483892373769</v>
      </c>
      <c r="E31" s="366">
        <v>1404.1094575415793</v>
      </c>
      <c r="F31" s="366">
        <v>1994.5684303560711</v>
      </c>
      <c r="G31" s="366">
        <v>2293.992595518725</v>
      </c>
      <c r="H31" s="366">
        <v>2948.9042285205783</v>
      </c>
      <c r="I31" s="366">
        <v>3457.1049676470634</v>
      </c>
      <c r="J31" s="366">
        <v>3617.9323960957577</v>
      </c>
      <c r="K31" s="366">
        <v>4080.8442716929458</v>
      </c>
      <c r="L31" s="366">
        <v>4622.4182527179319</v>
      </c>
      <c r="M31" s="366">
        <v>5143.7513409200592</v>
      </c>
      <c r="N31" s="366">
        <v>5327.0615754648934</v>
      </c>
      <c r="O31" s="366">
        <v>5808.4960890753864</v>
      </c>
      <c r="P31" s="366">
        <v>4616.6754640406298</v>
      </c>
      <c r="Q31" s="366">
        <v>4683.1215300149152</v>
      </c>
      <c r="R31" s="366">
        <v>4671.4973662658704</v>
      </c>
      <c r="S31" s="366">
        <v>4539.5834909708083</v>
      </c>
      <c r="T31" s="366">
        <v>4454.4220377734819</v>
      </c>
      <c r="U31" s="366">
        <v>4293.7951145313255</v>
      </c>
      <c r="V31" s="366">
        <v>4360.1502393241135</v>
      </c>
      <c r="W31" s="366">
        <v>4624.7037593049617</v>
      </c>
      <c r="X31" s="366">
        <v>4676.3418476577845</v>
      </c>
      <c r="Y31" s="366">
        <v>4560.95240241183</v>
      </c>
      <c r="Z31" s="366">
        <v>4684.198386637735</v>
      </c>
      <c r="AA31" s="366">
        <v>4987.3976310295293</v>
      </c>
      <c r="AB31" s="366">
        <v>5167.3881334341086</v>
      </c>
      <c r="AC31" s="366">
        <v>5344.2741243476466</v>
      </c>
      <c r="AD31" s="366">
        <v>5290.0788769725195</v>
      </c>
      <c r="AE31" s="366">
        <v>5515.3017320265963</v>
      </c>
      <c r="AF31" s="366">
        <v>5359.1819197370241</v>
      </c>
      <c r="AG31" s="366">
        <v>5549.0725905941072</v>
      </c>
      <c r="AH31" s="366">
        <v>5812.1672393690515</v>
      </c>
      <c r="AI31" s="366">
        <v>6004.7310806398364</v>
      </c>
      <c r="AJ31" s="366">
        <v>6197.1719321247001</v>
      </c>
    </row>
    <row r="32" spans="1:40">
      <c r="A32" s="841"/>
      <c r="B32" s="367" t="s">
        <v>371</v>
      </c>
      <c r="D32" s="366">
        <v>6892.6653685900392</v>
      </c>
      <c r="E32" s="366">
        <v>13194.444075308424</v>
      </c>
      <c r="F32" s="366">
        <v>18742.998608375627</v>
      </c>
      <c r="G32" s="366">
        <v>21556.693353336454</v>
      </c>
      <c r="H32" s="366">
        <v>27710.910796641419</v>
      </c>
      <c r="I32" s="366">
        <v>32486.48309652122</v>
      </c>
      <c r="J32" s="366">
        <v>33997.781591837505</v>
      </c>
      <c r="K32" s="366">
        <v>38347.773554043437</v>
      </c>
      <c r="L32" s="366">
        <v>43436.954861736958</v>
      </c>
      <c r="M32" s="366">
        <v>48335.932103108564</v>
      </c>
      <c r="N32" s="366">
        <v>50058.501967688993</v>
      </c>
      <c r="O32" s="366">
        <v>54582.551522115464</v>
      </c>
      <c r="P32" s="366">
        <v>43382.989764050355</v>
      </c>
      <c r="Q32" s="366">
        <v>44007.384747513388</v>
      </c>
      <c r="R32" s="366">
        <v>43898.15225307698</v>
      </c>
      <c r="S32" s="366">
        <v>42658.554983085414</v>
      </c>
      <c r="T32" s="366">
        <v>41858.291139302528</v>
      </c>
      <c r="U32" s="366">
        <v>40348.876795339427</v>
      </c>
      <c r="V32" s="366">
        <v>40972.41720273863</v>
      </c>
      <c r="W32" s="366">
        <v>43458.431811902323</v>
      </c>
      <c r="X32" s="366">
        <v>43943.675939607354</v>
      </c>
      <c r="Y32" s="366">
        <v>42859.359062457122</v>
      </c>
      <c r="Z32" s="366">
        <v>44017.503990290774</v>
      </c>
      <c r="AA32" s="366">
        <v>46866.673228711668</v>
      </c>
      <c r="AB32" s="366">
        <v>48558.047505345305</v>
      </c>
      <c r="AC32" s="366">
        <v>50220.24862668851</v>
      </c>
      <c r="AD32" s="366">
        <v>49710.974825562909</v>
      </c>
      <c r="AE32" s="366">
        <v>51827.398406026026</v>
      </c>
      <c r="AF32" s="366">
        <v>50360.33747196677</v>
      </c>
      <c r="AG32" s="366">
        <v>52144.743825466707</v>
      </c>
      <c r="AH32" s="366">
        <v>54617.049393333124</v>
      </c>
      <c r="AI32" s="366">
        <v>56426.575581570978</v>
      </c>
      <c r="AJ32" s="366">
        <v>58234.946032381486</v>
      </c>
    </row>
    <row r="33" spans="1:40">
      <c r="A33" s="841"/>
      <c r="B33" s="367" t="s">
        <v>372</v>
      </c>
      <c r="D33" s="366">
        <v>2611.15025130915</v>
      </c>
      <c r="E33" s="366">
        <v>4998.4547516447483</v>
      </c>
      <c r="F33" s="366">
        <v>7100.415138325282</v>
      </c>
      <c r="G33" s="366">
        <v>8166.3278654818932</v>
      </c>
      <c r="H33" s="366">
        <v>10497.731693227015</v>
      </c>
      <c r="I33" s="366">
        <v>12306.863015313374</v>
      </c>
      <c r="J33" s="366">
        <v>12879.388625483181</v>
      </c>
      <c r="K33" s="366">
        <v>14527.297235274045</v>
      </c>
      <c r="L33" s="366">
        <v>16455.233141041092</v>
      </c>
      <c r="M33" s="366">
        <v>18311.113989871857</v>
      </c>
      <c r="N33" s="366">
        <v>18963.675588944072</v>
      </c>
      <c r="O33" s="366">
        <v>20677.522482601154</v>
      </c>
      <c r="P33" s="366">
        <v>16434.789528758909</v>
      </c>
      <c r="Q33" s="366">
        <v>16671.329246096033</v>
      </c>
      <c r="R33" s="366">
        <v>16629.948671231836</v>
      </c>
      <c r="S33" s="366">
        <v>16160.351708377581</v>
      </c>
      <c r="T33" s="366">
        <v>15857.187543999358</v>
      </c>
      <c r="U33" s="366">
        <v>15285.375707386853</v>
      </c>
      <c r="V33" s="366">
        <v>15521.591685446856</v>
      </c>
      <c r="W33" s="366">
        <v>16463.369259773506</v>
      </c>
      <c r="X33" s="366">
        <v>16647.194421484863</v>
      </c>
      <c r="Y33" s="366">
        <v>16236.422371071394</v>
      </c>
      <c r="Z33" s="366">
        <v>16675.162721523651</v>
      </c>
      <c r="AA33" s="366">
        <v>17754.514260454791</v>
      </c>
      <c r="AB33" s="366">
        <v>18395.258026663945</v>
      </c>
      <c r="AC33" s="366">
        <v>19024.950118710116</v>
      </c>
      <c r="AD33" s="366">
        <v>18832.021789437938</v>
      </c>
      <c r="AE33" s="366">
        <v>19633.787096250355</v>
      </c>
      <c r="AF33" s="366">
        <v>19078.020013154852</v>
      </c>
      <c r="AG33" s="366">
        <v>19754.00714573955</v>
      </c>
      <c r="AH33" s="366">
        <v>20690.591320312345</v>
      </c>
      <c r="AI33" s="366">
        <v>21376.094606559127</v>
      </c>
      <c r="AJ33" s="366">
        <v>22061.160064489482</v>
      </c>
    </row>
    <row r="34" spans="1:40">
      <c r="A34" s="841"/>
      <c r="B34" s="367" t="s">
        <v>373</v>
      </c>
      <c r="D34" s="366">
        <v>2363.6800636903204</v>
      </c>
      <c r="E34" s="366">
        <v>4489.5447194453736</v>
      </c>
      <c r="F34" s="366">
        <v>6328.2789028199686</v>
      </c>
      <c r="G34" s="366">
        <v>7222.5283069778552</v>
      </c>
      <c r="H34" s="366">
        <v>9213.8966498559403</v>
      </c>
      <c r="I34" s="366">
        <v>10720.255783818282</v>
      </c>
      <c r="J34" s="366">
        <v>11134.919064221272</v>
      </c>
      <c r="K34" s="366">
        <v>12466.210107012066</v>
      </c>
      <c r="L34" s="366">
        <v>14016.348353921814</v>
      </c>
      <c r="M34" s="366">
        <v>15482.814561237805</v>
      </c>
      <c r="N34" s="366">
        <v>15917.861231659452</v>
      </c>
      <c r="O34" s="366">
        <v>17230.987692395141</v>
      </c>
      <c r="P34" s="366">
        <v>13597.134539104552</v>
      </c>
      <c r="Q34" s="366">
        <v>13694.521011217861</v>
      </c>
      <c r="R34" s="366">
        <v>13563.831445228047</v>
      </c>
      <c r="S34" s="366">
        <v>13088.151995936176</v>
      </c>
      <c r="T34" s="366">
        <v>12752.949101844884</v>
      </c>
      <c r="U34" s="366">
        <v>12207.820459674937</v>
      </c>
      <c r="V34" s="366">
        <v>12311.079928646537</v>
      </c>
      <c r="W34" s="366">
        <v>12968.703175254297</v>
      </c>
      <c r="X34" s="366">
        <v>13024.366311701737</v>
      </c>
      <c r="Y34" s="366">
        <v>12617.204180390092</v>
      </c>
      <c r="Z34" s="366">
        <v>12871.209917125283</v>
      </c>
      <c r="AA34" s="366">
        <v>13612.992273050339</v>
      </c>
      <c r="AB34" s="366">
        <v>14010.865264340351</v>
      </c>
      <c r="AC34" s="366">
        <v>14395.123165729881</v>
      </c>
      <c r="AD34" s="366">
        <v>14155.977660738738</v>
      </c>
      <c r="AE34" s="366">
        <v>14662.772707204438</v>
      </c>
      <c r="AF34" s="366">
        <v>14155.729071115607</v>
      </c>
      <c r="AG34" s="366">
        <v>14563.261638646576</v>
      </c>
      <c r="AH34" s="366">
        <v>15156.475326045746</v>
      </c>
      <c r="AI34" s="366">
        <v>15559.394563153415</v>
      </c>
      <c r="AJ34" s="366">
        <v>15956.903867170702</v>
      </c>
    </row>
    <row r="35" spans="1:40">
      <c r="A35" s="841"/>
      <c r="B35" s="367" t="s">
        <v>374</v>
      </c>
      <c r="D35" s="366">
        <v>9029.6823243085819</v>
      </c>
      <c r="E35" s="366">
        <v>17150.867082271845</v>
      </c>
      <c r="F35" s="366">
        <v>24175.1618714734</v>
      </c>
      <c r="G35" s="366">
        <v>27591.355188956913</v>
      </c>
      <c r="H35" s="366">
        <v>35198.739878236753</v>
      </c>
      <c r="I35" s="366">
        <v>40953.302289176667</v>
      </c>
      <c r="J35" s="366">
        <v>42537.390487538374</v>
      </c>
      <c r="K35" s="366">
        <v>47623.161350634844</v>
      </c>
      <c r="L35" s="366">
        <v>53544.967835097224</v>
      </c>
      <c r="M35" s="366">
        <v>59147.132102084768</v>
      </c>
      <c r="N35" s="366">
        <v>60809.088510864734</v>
      </c>
      <c r="O35" s="366">
        <v>65825.467408427896</v>
      </c>
      <c r="P35" s="366">
        <v>51943.495778066121</v>
      </c>
      <c r="Q35" s="366">
        <v>52315.529590669081</v>
      </c>
      <c r="R35" s="366">
        <v>51816.271978728422</v>
      </c>
      <c r="S35" s="366">
        <v>49999.09105763468</v>
      </c>
      <c r="T35" s="366">
        <v>48718.555804861251</v>
      </c>
      <c r="U35" s="366">
        <v>46636.066494953855</v>
      </c>
      <c r="V35" s="366">
        <v>47030.536210256469</v>
      </c>
      <c r="W35" s="366">
        <v>49542.775111437302</v>
      </c>
      <c r="X35" s="366">
        <v>49755.418288919805</v>
      </c>
      <c r="Y35" s="366">
        <v>48199.985827179386</v>
      </c>
      <c r="Z35" s="366">
        <v>49170.333357077281</v>
      </c>
      <c r="AA35" s="366">
        <v>52004.075169546966</v>
      </c>
      <c r="AB35" s="366">
        <v>53524.021448216386</v>
      </c>
      <c r="AC35" s="366">
        <v>54991.955638402731</v>
      </c>
      <c r="AD35" s="366">
        <v>54078.376862438927</v>
      </c>
      <c r="AE35" s="366">
        <v>56014.424952624955</v>
      </c>
      <c r="AF35" s="366">
        <v>54077.427205435619</v>
      </c>
      <c r="AG35" s="366">
        <v>55634.274800058549</v>
      </c>
      <c r="AH35" s="366">
        <v>57900.457618084787</v>
      </c>
      <c r="AI35" s="366">
        <v>59439.681462006673</v>
      </c>
      <c r="AJ35" s="366">
        <v>60958.238389981605</v>
      </c>
      <c r="AL35" s="337">
        <v>271331</v>
      </c>
      <c r="AM35" s="337">
        <f>AL37-AL35</f>
        <v>248008</v>
      </c>
      <c r="AN35" s="362">
        <f>AM35/AL37</f>
        <v>0.47754549533156571</v>
      </c>
    </row>
    <row r="36" spans="1:40">
      <c r="A36" s="841"/>
      <c r="B36" s="367" t="s">
        <v>46</v>
      </c>
      <c r="D36" s="368">
        <f t="shared" ref="D36:AJ36" si="10">SUM(D29:D35)</f>
        <v>24895.16274636428</v>
      </c>
      <c r="E36" s="368">
        <f t="shared" si="10"/>
        <v>47370.210428819846</v>
      </c>
      <c r="F36" s="368">
        <f t="shared" si="10"/>
        <v>66890.327905089391</v>
      </c>
      <c r="G36" s="368">
        <f t="shared" si="10"/>
        <v>77167.667672979835</v>
      </c>
      <c r="H36" s="368">
        <f t="shared" si="10"/>
        <v>98607.35662202214</v>
      </c>
      <c r="I36" s="368">
        <f t="shared" si="10"/>
        <v>114918.27410222459</v>
      </c>
      <c r="J36" s="368">
        <f t="shared" si="10"/>
        <v>119560.32727112705</v>
      </c>
      <c r="K36" s="368">
        <f t="shared" si="10"/>
        <v>134075.26994821042</v>
      </c>
      <c r="L36" s="368">
        <f t="shared" si="10"/>
        <v>150994.61510701949</v>
      </c>
      <c r="M36" s="368">
        <f t="shared" si="10"/>
        <v>167065.57406126283</v>
      </c>
      <c r="N36" s="368">
        <f t="shared" si="10"/>
        <v>172040.38061580979</v>
      </c>
      <c r="O36" s="368">
        <f t="shared" si="10"/>
        <v>186535.98830715142</v>
      </c>
      <c r="P36" s="368">
        <f t="shared" si="10"/>
        <v>147436.42677714425</v>
      </c>
      <c r="Q36" s="368">
        <f t="shared" si="10"/>
        <v>148733.00765009646</v>
      </c>
      <c r="R36" s="368">
        <f t="shared" si="10"/>
        <v>147551.68935084026</v>
      </c>
      <c r="S36" s="368">
        <f t="shared" si="10"/>
        <v>142606.59307939705</v>
      </c>
      <c r="T36" s="368">
        <f t="shared" si="10"/>
        <v>139177.67120594979</v>
      </c>
      <c r="U36" s="368">
        <f t="shared" si="10"/>
        <v>133442.12085805941</v>
      </c>
      <c r="V36" s="368">
        <f t="shared" si="10"/>
        <v>134786.07375790284</v>
      </c>
      <c r="W36" s="368">
        <f t="shared" si="10"/>
        <v>142212.47836884929</v>
      </c>
      <c r="X36" s="368">
        <f t="shared" si="10"/>
        <v>143050.13119679689</v>
      </c>
      <c r="Y36" s="368">
        <f t="shared" si="10"/>
        <v>138798.09978204037</v>
      </c>
      <c r="Z36" s="368">
        <f t="shared" si="10"/>
        <v>141816.48874706571</v>
      </c>
      <c r="AA36" s="368">
        <f t="shared" si="10"/>
        <v>150226.36566411026</v>
      </c>
      <c r="AB36" s="368">
        <f t="shared" si="10"/>
        <v>154860.61362863658</v>
      </c>
      <c r="AC36" s="368">
        <f t="shared" si="10"/>
        <v>159357.72321963133</v>
      </c>
      <c r="AD36" s="368">
        <f t="shared" si="10"/>
        <v>156955.87430349548</v>
      </c>
      <c r="AE36" s="368">
        <f t="shared" si="10"/>
        <v>162829.11124813074</v>
      </c>
      <c r="AF36" s="368">
        <f t="shared" si="10"/>
        <v>157443.49155507158</v>
      </c>
      <c r="AG36" s="368">
        <f t="shared" si="10"/>
        <v>162228.0417136451</v>
      </c>
      <c r="AH36" s="368">
        <f t="shared" si="10"/>
        <v>169098.04393726835</v>
      </c>
      <c r="AI36" s="368">
        <f t="shared" si="10"/>
        <v>173861.91176961263</v>
      </c>
      <c r="AJ36" s="368">
        <f t="shared" si="10"/>
        <v>178578.87318990746</v>
      </c>
      <c r="AL36" s="337">
        <v>412315</v>
      </c>
      <c r="AM36" s="337">
        <f>AL37-AL36</f>
        <v>107024</v>
      </c>
      <c r="AN36" s="362">
        <f>AM36/AL37</f>
        <v>0.20607734061951827</v>
      </c>
    </row>
    <row r="37" spans="1:40">
      <c r="A37" s="370"/>
      <c r="AL37" s="337">
        <v>519339</v>
      </c>
    </row>
    <row r="38" spans="1:40">
      <c r="A38" s="841" t="s">
        <v>381</v>
      </c>
      <c r="B38" s="367" t="s">
        <v>368</v>
      </c>
      <c r="D38" s="368">
        <v>346.57645597419804</v>
      </c>
      <c r="E38" s="368">
        <v>685.71157654532169</v>
      </c>
      <c r="F38" s="368">
        <v>1017.3843108147699</v>
      </c>
      <c r="G38" s="368">
        <v>1341.5736078839379</v>
      </c>
      <c r="H38" s="368">
        <v>1658.2584168542244</v>
      </c>
      <c r="I38" s="368">
        <v>1967.4176868270511</v>
      </c>
      <c r="J38" s="368">
        <v>2269.0303669037853</v>
      </c>
      <c r="K38" s="368">
        <v>2563.0754061858624</v>
      </c>
      <c r="L38" s="368">
        <v>2849.5317537746419</v>
      </c>
      <c r="M38" s="368">
        <v>3128.3783587715661</v>
      </c>
      <c r="N38" s="368">
        <v>3399.5941702780005</v>
      </c>
      <c r="O38" s="368">
        <v>3663.1581373953813</v>
      </c>
      <c r="P38" s="368">
        <v>3919.0492092250661</v>
      </c>
      <c r="Q38" s="368">
        <v>4167.2463348684969</v>
      </c>
      <c r="R38" s="368">
        <v>4407.7284634270382</v>
      </c>
      <c r="S38" s="368">
        <v>4640.4745440021288</v>
      </c>
      <c r="T38" s="368">
        <v>4865.4635256951315</v>
      </c>
      <c r="U38" s="368">
        <v>5082.6743576074514</v>
      </c>
      <c r="V38" s="368">
        <v>5292.0859888405175</v>
      </c>
      <c r="W38" s="368">
        <v>5493.6773684957188</v>
      </c>
      <c r="X38" s="368">
        <v>5687.4274456744442</v>
      </c>
      <c r="Y38" s="368">
        <v>5873.3151694781091</v>
      </c>
      <c r="Z38" s="368">
        <v>6051.3194890080995</v>
      </c>
      <c r="AA38" s="368">
        <v>6221.4193533658354</v>
      </c>
      <c r="AB38" s="368">
        <v>6383.5937116526829</v>
      </c>
      <c r="AC38" s="368">
        <v>6537.8215129700839</v>
      </c>
      <c r="AD38" s="368">
        <v>6684.0817064194025</v>
      </c>
      <c r="AE38" s="368">
        <v>6822.3532411020778</v>
      </c>
      <c r="AF38" s="368">
        <v>6952.6150661194642</v>
      </c>
      <c r="AG38" s="368">
        <v>7074.8461305729998</v>
      </c>
      <c r="AH38" s="368">
        <v>7189.0253835640597</v>
      </c>
      <c r="AI38" s="368">
        <v>7295.1317741940684</v>
      </c>
      <c r="AJ38" s="368">
        <v>7393.144251564403</v>
      </c>
    </row>
    <row r="39" spans="1:40">
      <c r="A39" s="841"/>
      <c r="B39" s="367" t="s">
        <v>369</v>
      </c>
      <c r="D39" s="368">
        <v>1360.6967261647014</v>
      </c>
      <c r="E39" s="368">
        <v>2692.1779630867904</v>
      </c>
      <c r="F39" s="368">
        <v>3994.3610626569812</v>
      </c>
      <c r="G39" s="368">
        <v>5267.163376766006</v>
      </c>
      <c r="H39" s="368">
        <v>6510.5022573045053</v>
      </c>
      <c r="I39" s="368">
        <v>7724.2950561633179</v>
      </c>
      <c r="J39" s="368">
        <v>8908.4591252330865</v>
      </c>
      <c r="K39" s="368">
        <v>10062.911816404559</v>
      </c>
      <c r="L39" s="368">
        <v>11187.570481568397</v>
      </c>
      <c r="M39" s="368">
        <v>12282.352472615439</v>
      </c>
      <c r="N39" s="368">
        <v>13347.175141436255</v>
      </c>
      <c r="O39" s="368">
        <v>14381.955839921737</v>
      </c>
      <c r="P39" s="368">
        <v>15386.611919962439</v>
      </c>
      <c r="Q39" s="368">
        <v>16361.060733449212</v>
      </c>
      <c r="R39" s="368">
        <v>17305.219632272652</v>
      </c>
      <c r="S39" s="368">
        <v>18219.005968323596</v>
      </c>
      <c r="T39" s="368">
        <v>19102.337093492715</v>
      </c>
      <c r="U39" s="368">
        <v>19955.130359670642</v>
      </c>
      <c r="V39" s="368">
        <v>20777.303118748223</v>
      </c>
      <c r="W39" s="368">
        <v>21568.772722616199</v>
      </c>
      <c r="X39" s="368">
        <v>22329.456523165198</v>
      </c>
      <c r="Y39" s="368">
        <v>23059.271872285986</v>
      </c>
      <c r="Z39" s="368">
        <v>23758.136121869262</v>
      </c>
      <c r="AA39" s="368">
        <v>24425.966623805794</v>
      </c>
      <c r="AB39" s="368">
        <v>25062.680729986165</v>
      </c>
      <c r="AC39" s="368">
        <v>25668.195792301296</v>
      </c>
      <c r="AD39" s="368">
        <v>26242.429162641707</v>
      </c>
      <c r="AE39" s="368">
        <v>26785.298192898303</v>
      </c>
      <c r="AF39" s="368">
        <v>27296.720234961649</v>
      </c>
      <c r="AG39" s="368">
        <v>27776.612640722582</v>
      </c>
      <c r="AH39" s="368">
        <v>28224.89276207173</v>
      </c>
      <c r="AI39" s="368">
        <v>28641.477950899894</v>
      </c>
      <c r="AJ39" s="368">
        <v>29026.285559097709</v>
      </c>
    </row>
    <row r="40" spans="1:40">
      <c r="A40" s="841"/>
      <c r="B40" s="367" t="s">
        <v>370</v>
      </c>
      <c r="C40" s="362"/>
      <c r="D40" s="368">
        <v>201.56389256944533</v>
      </c>
      <c r="E40" s="368">
        <v>406.36498128744216</v>
      </c>
      <c r="F40" s="368">
        <v>614.40598205515653</v>
      </c>
      <c r="G40" s="368">
        <v>770.64363672215779</v>
      </c>
      <c r="H40" s="368">
        <v>970.87067778806306</v>
      </c>
      <c r="I40" s="368">
        <v>1174.1292412902758</v>
      </c>
      <c r="J40" s="368">
        <v>1380.4218620698769</v>
      </c>
      <c r="K40" s="368">
        <v>1589.751074967945</v>
      </c>
      <c r="L40" s="368">
        <v>1802.1194148255624</v>
      </c>
      <c r="M40" s="368">
        <v>2017.5294164838078</v>
      </c>
      <c r="N40" s="368">
        <v>2235.9836147837623</v>
      </c>
      <c r="O40" s="368">
        <v>2457.4845445665073</v>
      </c>
      <c r="P40" s="368">
        <v>2682.0347406731212</v>
      </c>
      <c r="Q40" s="368">
        <v>2909.6367379446833</v>
      </c>
      <c r="R40" s="368">
        <v>3140.2930712222792</v>
      </c>
      <c r="S40" s="368">
        <v>3374.0062753469824</v>
      </c>
      <c r="T40" s="368">
        <v>3610.7788851598807</v>
      </c>
      <c r="U40" s="368">
        <v>3850.6134355020567</v>
      </c>
      <c r="V40" s="368">
        <v>4093.5124612145778</v>
      </c>
      <c r="W40" s="368">
        <v>4339.4784971385288</v>
      </c>
      <c r="X40" s="368">
        <v>4588.5140781149912</v>
      </c>
      <c r="Y40" s="368">
        <v>4840.6217389850481</v>
      </c>
      <c r="Z40" s="368">
        <v>5095.8040145897785</v>
      </c>
      <c r="AA40" s="368">
        <v>5354.0634397702615</v>
      </c>
      <c r="AB40" s="368">
        <v>5615.4025493675799</v>
      </c>
      <c r="AC40" s="368">
        <v>5879.82387822281</v>
      </c>
      <c r="AD40" s="368">
        <v>6147.3299611770335</v>
      </c>
      <c r="AE40" s="368">
        <v>6417.9233330713387</v>
      </c>
      <c r="AF40" s="368">
        <v>6691.6065287467945</v>
      </c>
      <c r="AG40" s="368">
        <v>6968.3820830444847</v>
      </c>
      <c r="AH40" s="368">
        <v>7248.2525308054928</v>
      </c>
      <c r="AI40" s="368">
        <v>7531.2204068708925</v>
      </c>
      <c r="AJ40" s="368">
        <v>7817.2882460817755</v>
      </c>
    </row>
    <row r="41" spans="1:40">
      <c r="A41" s="841"/>
      <c r="B41" s="367" t="s">
        <v>371</v>
      </c>
      <c r="D41" s="368">
        <v>1894.0998465785622</v>
      </c>
      <c r="E41" s="368">
        <v>3818.619688773184</v>
      </c>
      <c r="F41" s="368">
        <v>5773.5850479603005</v>
      </c>
      <c r="G41" s="368">
        <v>7241.7533491484946</v>
      </c>
      <c r="H41" s="368">
        <v>9123.290775962907</v>
      </c>
      <c r="I41" s="368">
        <v>11033.315478490815</v>
      </c>
      <c r="J41" s="368">
        <v>12971.85127668349</v>
      </c>
      <c r="K41" s="368">
        <v>14938.921990492205</v>
      </c>
      <c r="L41" s="368">
        <v>16934.551439868264</v>
      </c>
      <c r="M41" s="368">
        <v>18958.763444762943</v>
      </c>
      <c r="N41" s="368">
        <v>21011.581825127516</v>
      </c>
      <c r="O41" s="368">
        <v>23093.030400913281</v>
      </c>
      <c r="P41" s="368">
        <v>25203.132992071507</v>
      </c>
      <c r="Q41" s="368">
        <v>27341.913418553475</v>
      </c>
      <c r="R41" s="368">
        <v>29509.395500310471</v>
      </c>
      <c r="S41" s="368">
        <v>31705.603057293785</v>
      </c>
      <c r="T41" s="368">
        <v>33930.559909454714</v>
      </c>
      <c r="U41" s="368">
        <v>36184.289876744588</v>
      </c>
      <c r="V41" s="368">
        <v>38466.816779114546</v>
      </c>
      <c r="W41" s="368">
        <v>40778.16443651593</v>
      </c>
      <c r="X41" s="368">
        <v>43118.356668900058</v>
      </c>
      <c r="Y41" s="368">
        <v>45487.417296218191</v>
      </c>
      <c r="Z41" s="368">
        <v>47885.370138421618</v>
      </c>
      <c r="AA41" s="368">
        <v>50312.239015461644</v>
      </c>
      <c r="AB41" s="368">
        <v>52768.047747289478</v>
      </c>
      <c r="AC41" s="368">
        <v>55252.820153856483</v>
      </c>
      <c r="AD41" s="368">
        <v>57766.580055113904</v>
      </c>
      <c r="AE41" s="368">
        <v>60309.351271013067</v>
      </c>
      <c r="AF41" s="368">
        <v>62881.157621505205</v>
      </c>
      <c r="AG41" s="368">
        <v>65482.022926541576</v>
      </c>
      <c r="AH41" s="368">
        <v>68111.971006073552</v>
      </c>
      <c r="AI41" s="368">
        <v>70771.025680052306</v>
      </c>
      <c r="AJ41" s="368">
        <v>73459.210768429257</v>
      </c>
    </row>
    <row r="42" spans="1:40">
      <c r="A42" s="841"/>
      <c r="B42" s="367" t="s">
        <v>372</v>
      </c>
      <c r="D42" s="368">
        <v>717.5423476868923</v>
      </c>
      <c r="E42" s="368">
        <v>1446.608710388304</v>
      </c>
      <c r="F42" s="368">
        <v>2187.2087563740506</v>
      </c>
      <c r="G42" s="368">
        <v>2743.3953436529714</v>
      </c>
      <c r="H42" s="368">
        <v>3456.1786665257996</v>
      </c>
      <c r="I42" s="368">
        <v>4179.7538316193913</v>
      </c>
      <c r="J42" s="368">
        <v>4914.1298626522266</v>
      </c>
      <c r="K42" s="368">
        <v>5659.3157833427586</v>
      </c>
      <c r="L42" s="368">
        <v>6415.3206174094648</v>
      </c>
      <c r="M42" s="368">
        <v>7182.1533885708104</v>
      </c>
      <c r="N42" s="368">
        <v>7959.8231205452685</v>
      </c>
      <c r="O42" s="368">
        <v>8748.3388370513039</v>
      </c>
      <c r="P42" s="368">
        <v>9547.7095618073727</v>
      </c>
      <c r="Q42" s="368">
        <v>10357.944318531952</v>
      </c>
      <c r="R42" s="368">
        <v>11179.052130943513</v>
      </c>
      <c r="S42" s="368">
        <v>12011.042022760521</v>
      </c>
      <c r="T42" s="368">
        <v>12853.923017701445</v>
      </c>
      <c r="U42" s="368">
        <v>13707.704139484782</v>
      </c>
      <c r="V42" s="368">
        <v>14572.394411828933</v>
      </c>
      <c r="W42" s="368">
        <v>15448.002858452397</v>
      </c>
      <c r="X42" s="368">
        <v>16334.538503073649</v>
      </c>
      <c r="Y42" s="368">
        <v>17232.010369411153</v>
      </c>
      <c r="Z42" s="368">
        <v>18140.427481183382</v>
      </c>
      <c r="AA42" s="368">
        <v>19059.798862108797</v>
      </c>
      <c r="AB42" s="368">
        <v>19990.133535905854</v>
      </c>
      <c r="AC42" s="368">
        <v>20931.440526293045</v>
      </c>
      <c r="AD42" s="368">
        <v>21883.728856988826</v>
      </c>
      <c r="AE42" s="368">
        <v>22847.007551711675</v>
      </c>
      <c r="AF42" s="368">
        <v>23821.28563418004</v>
      </c>
      <c r="AG42" s="368">
        <v>24806.572128112395</v>
      </c>
      <c r="AH42" s="368">
        <v>25802.876057227219</v>
      </c>
      <c r="AI42" s="368">
        <v>26810.206445242969</v>
      </c>
      <c r="AJ42" s="368">
        <v>27828.572315878111</v>
      </c>
    </row>
    <row r="43" spans="1:40">
      <c r="A43" s="841"/>
      <c r="B43" s="367" t="s">
        <v>373</v>
      </c>
      <c r="D43" s="368">
        <v>591.0122499872673</v>
      </c>
      <c r="E43" s="368">
        <v>1182.2511050547207</v>
      </c>
      <c r="F43" s="368">
        <v>1773.7165652023557</v>
      </c>
      <c r="G43" s="368">
        <v>2207.7147217348352</v>
      </c>
      <c r="H43" s="368">
        <v>2760.1721473556499</v>
      </c>
      <c r="I43" s="368">
        <v>3312.8410710513008</v>
      </c>
      <c r="J43" s="368">
        <v>3865.7214928217918</v>
      </c>
      <c r="K43" s="368">
        <v>4418.8134126671275</v>
      </c>
      <c r="L43" s="368">
        <v>4972.1168305872952</v>
      </c>
      <c r="M43" s="368">
        <v>5525.6317465823158</v>
      </c>
      <c r="N43" s="368">
        <v>6079.358160652172</v>
      </c>
      <c r="O43" s="368">
        <v>6633.2960727968693</v>
      </c>
      <c r="P43" s="368">
        <v>7187.4454830164068</v>
      </c>
      <c r="Q43" s="368">
        <v>7741.8063913107844</v>
      </c>
      <c r="R43" s="368">
        <v>8296.3787976800013</v>
      </c>
      <c r="S43" s="368">
        <v>8851.162702124062</v>
      </c>
      <c r="T43" s="368">
        <v>9406.1581046429637</v>
      </c>
      <c r="U43" s="368">
        <v>9961.3650052367084</v>
      </c>
      <c r="V43" s="368">
        <v>10516.7834039053</v>
      </c>
      <c r="W43" s="368">
        <v>11072.413300648725</v>
      </c>
      <c r="X43" s="368">
        <v>11628.254695466978</v>
      </c>
      <c r="Y43" s="368">
        <v>12184.307588360081</v>
      </c>
      <c r="Z43" s="368">
        <v>12740.571979328026</v>
      </c>
      <c r="AA43" s="368">
        <v>13297.047868370826</v>
      </c>
      <c r="AB43" s="368">
        <v>13853.735255488453</v>
      </c>
      <c r="AC43" s="368">
        <v>14410.634140680922</v>
      </c>
      <c r="AD43" s="368">
        <v>14967.744523948224</v>
      </c>
      <c r="AE43" s="368">
        <v>15525.066405290372</v>
      </c>
      <c r="AF43" s="368">
        <v>16082.59978470737</v>
      </c>
      <c r="AG43" s="368">
        <v>16640.344662199201</v>
      </c>
      <c r="AH43" s="368">
        <v>17198.301037765876</v>
      </c>
      <c r="AI43" s="368">
        <v>17756.468911407392</v>
      </c>
      <c r="AJ43" s="368">
        <v>18314.848283123738</v>
      </c>
    </row>
    <row r="44" spans="1:40">
      <c r="A44" s="841"/>
      <c r="B44" s="367" t="s">
        <v>374</v>
      </c>
      <c r="D44" s="368">
        <v>2257.7729317680869</v>
      </c>
      <c r="E44" s="368">
        <v>4516.4115356372813</v>
      </c>
      <c r="F44" s="368">
        <v>6775.9158116076205</v>
      </c>
      <c r="G44" s="368">
        <v>8433.8667090338331</v>
      </c>
      <c r="H44" s="368">
        <v>10544.353287861622</v>
      </c>
      <c r="I44" s="368">
        <v>12655.647827317131</v>
      </c>
      <c r="J44" s="368">
        <v>14767.750327400372</v>
      </c>
      <c r="K44" s="368">
        <v>16880.660788111352</v>
      </c>
      <c r="L44" s="368">
        <v>18994.379209450071</v>
      </c>
      <c r="M44" s="368">
        <v>21108.905591416504</v>
      </c>
      <c r="N44" s="368">
        <v>23224.239934010671</v>
      </c>
      <c r="O44" s="368">
        <v>25340.382237232581</v>
      </c>
      <c r="P44" s="368">
        <v>27457.332501082223</v>
      </c>
      <c r="Q44" s="368">
        <v>29575.090725559581</v>
      </c>
      <c r="R44" s="368">
        <v>31693.656910664682</v>
      </c>
      <c r="S44" s="368">
        <v>33813.0310563975</v>
      </c>
      <c r="T44" s="368">
        <v>35933.213162758067</v>
      </c>
      <c r="U44" s="368">
        <v>38054.203229746345</v>
      </c>
      <c r="V44" s="368">
        <v>40176.001257362426</v>
      </c>
      <c r="W44" s="368">
        <v>42298.607245606167</v>
      </c>
      <c r="X44" s="368">
        <v>44422.02119447766</v>
      </c>
      <c r="Y44" s="368">
        <v>46546.243103976863</v>
      </c>
      <c r="Z44" s="368">
        <v>48671.27297410382</v>
      </c>
      <c r="AA44" s="368">
        <v>50797.110804858494</v>
      </c>
      <c r="AB44" s="368">
        <v>52923.756596240921</v>
      </c>
      <c r="AC44" s="368">
        <v>55051.210348251036</v>
      </c>
      <c r="AD44" s="368">
        <v>57179.472060888926</v>
      </c>
      <c r="AE44" s="368">
        <v>59308.541734154518</v>
      </c>
      <c r="AF44" s="368">
        <v>61438.419368047886</v>
      </c>
      <c r="AG44" s="368">
        <v>63569.104962568927</v>
      </c>
      <c r="AH44" s="368">
        <v>65700.598517717764</v>
      </c>
      <c r="AI44" s="368">
        <v>67832.900033494283</v>
      </c>
      <c r="AJ44" s="368">
        <v>69966.009509898562</v>
      </c>
    </row>
    <row r="45" spans="1:40">
      <c r="A45" s="841"/>
      <c r="B45" s="367" t="s">
        <v>46</v>
      </c>
      <c r="D45" s="368">
        <f t="shared" ref="D45:AJ45" si="11">SUM(D38:D44)</f>
        <v>7369.2644507291525</v>
      </c>
      <c r="E45" s="368">
        <f t="shared" si="11"/>
        <v>14748.145560773042</v>
      </c>
      <c r="F45" s="368">
        <f t="shared" si="11"/>
        <v>22136.577536671233</v>
      </c>
      <c r="G45" s="368">
        <f t="shared" si="11"/>
        <v>28006.110744942234</v>
      </c>
      <c r="H45" s="368">
        <f t="shared" si="11"/>
        <v>35023.626229652771</v>
      </c>
      <c r="I45" s="368">
        <f t="shared" si="11"/>
        <v>42047.400192759276</v>
      </c>
      <c r="J45" s="368">
        <f t="shared" si="11"/>
        <v>49077.364313764629</v>
      </c>
      <c r="K45" s="368">
        <f t="shared" si="11"/>
        <v>56113.450272171816</v>
      </c>
      <c r="L45" s="368">
        <f t="shared" si="11"/>
        <v>63155.589747483697</v>
      </c>
      <c r="M45" s="368">
        <f t="shared" si="11"/>
        <v>70203.714419203388</v>
      </c>
      <c r="N45" s="368">
        <f t="shared" si="11"/>
        <v>77257.755966833647</v>
      </c>
      <c r="O45" s="368">
        <f t="shared" si="11"/>
        <v>84317.646069877665</v>
      </c>
      <c r="P45" s="368">
        <f t="shared" si="11"/>
        <v>91383.316407838138</v>
      </c>
      <c r="Q45" s="368">
        <f t="shared" si="11"/>
        <v>98454.698660218186</v>
      </c>
      <c r="R45" s="368">
        <f t="shared" si="11"/>
        <v>105531.72450652062</v>
      </c>
      <c r="S45" s="368">
        <f t="shared" si="11"/>
        <v>112614.32562624858</v>
      </c>
      <c r="T45" s="368">
        <f t="shared" si="11"/>
        <v>119702.43369890492</v>
      </c>
      <c r="U45" s="368">
        <f t="shared" si="11"/>
        <v>126795.98040399258</v>
      </c>
      <c r="V45" s="368">
        <f t="shared" si="11"/>
        <v>133894.89742101452</v>
      </c>
      <c r="W45" s="368">
        <f t="shared" si="11"/>
        <v>140999.11642947368</v>
      </c>
      <c r="X45" s="368">
        <f t="shared" si="11"/>
        <v>148108.56910887297</v>
      </c>
      <c r="Y45" s="368">
        <f t="shared" si="11"/>
        <v>155223.18713871544</v>
      </c>
      <c r="Z45" s="368">
        <f t="shared" si="11"/>
        <v>162342.90219850396</v>
      </c>
      <c r="AA45" s="368">
        <f t="shared" si="11"/>
        <v>169467.64596774164</v>
      </c>
      <c r="AB45" s="368">
        <f t="shared" si="11"/>
        <v>176597.35012593115</v>
      </c>
      <c r="AC45" s="368">
        <f t="shared" si="11"/>
        <v>183731.94635257567</v>
      </c>
      <c r="AD45" s="368">
        <f t="shared" si="11"/>
        <v>190871.36632717802</v>
      </c>
      <c r="AE45" s="368">
        <f t="shared" si="11"/>
        <v>198015.54172924135</v>
      </c>
      <c r="AF45" s="368">
        <f t="shared" si="11"/>
        <v>205164.40423826838</v>
      </c>
      <c r="AG45" s="368">
        <f t="shared" si="11"/>
        <v>212317.88553376216</v>
      </c>
      <c r="AH45" s="368">
        <f t="shared" si="11"/>
        <v>219475.91729522569</v>
      </c>
      <c r="AI45" s="368">
        <f t="shared" si="11"/>
        <v>226638.43120216182</v>
      </c>
      <c r="AJ45" s="368">
        <f t="shared" si="11"/>
        <v>233805.35893407359</v>
      </c>
    </row>
    <row r="46" spans="1:40">
      <c r="A46" s="369"/>
      <c r="B46" s="367"/>
    </row>
    <row r="47" spans="1:40">
      <c r="A47" s="841" t="s">
        <v>382</v>
      </c>
      <c r="B47" s="367" t="s">
        <v>368</v>
      </c>
      <c r="D47" s="366">
        <f t="shared" ref="D47:AJ47" si="12">D29+D38</f>
        <v>1009.2679055813178</v>
      </c>
      <c r="E47" s="366">
        <f t="shared" si="12"/>
        <v>1930.6680160947267</v>
      </c>
      <c r="F47" s="366">
        <f t="shared" si="12"/>
        <v>2752.8120164238021</v>
      </c>
      <c r="G47" s="366">
        <f t="shared" si="12"/>
        <v>3439.9379915136606</v>
      </c>
      <c r="H47" s="366">
        <f t="shared" si="12"/>
        <v>4304.8046120889367</v>
      </c>
      <c r="I47" s="366">
        <f t="shared" si="12"/>
        <v>5011.2534716258997</v>
      </c>
      <c r="J47" s="366">
        <f t="shared" si="12"/>
        <v>5393.7921334118309</v>
      </c>
      <c r="K47" s="366">
        <f t="shared" si="12"/>
        <v>6020.1620423851482</v>
      </c>
      <c r="L47" s="366">
        <f t="shared" si="12"/>
        <v>6690.0263642630525</v>
      </c>
      <c r="M47" s="366">
        <f t="shared" si="12"/>
        <v>7319.2788414716497</v>
      </c>
      <c r="N47" s="366">
        <f t="shared" si="12"/>
        <v>7655.3250937391003</v>
      </c>
      <c r="O47" s="366">
        <f t="shared" si="12"/>
        <v>8212.5836492402777</v>
      </c>
      <c r="P47" s="366">
        <f t="shared" si="12"/>
        <v>7463.701574959181</v>
      </c>
      <c r="Q47" s="366">
        <f t="shared" si="12"/>
        <v>7691.554004359291</v>
      </c>
      <c r="R47" s="366">
        <f t="shared" si="12"/>
        <v>7853.041953597789</v>
      </c>
      <c r="S47" s="366">
        <f t="shared" si="12"/>
        <v>7921.1290922107901</v>
      </c>
      <c r="T47" s="366">
        <f t="shared" si="12"/>
        <v>8019.3254380632952</v>
      </c>
      <c r="U47" s="366">
        <f t="shared" si="12"/>
        <v>8060.7221737005693</v>
      </c>
      <c r="V47" s="366">
        <f t="shared" si="12"/>
        <v>8253.9165826130356</v>
      </c>
      <c r="W47" s="366">
        <f t="shared" si="12"/>
        <v>8570.0399044846308</v>
      </c>
      <c r="X47" s="366">
        <f t="shared" si="12"/>
        <v>8733.0637263217868</v>
      </c>
      <c r="Y47" s="366">
        <f t="shared" si="12"/>
        <v>8781.1228849998079</v>
      </c>
      <c r="Z47" s="366">
        <f t="shared" si="12"/>
        <v>8974.1298050135283</v>
      </c>
      <c r="AA47" s="366">
        <f t="shared" si="12"/>
        <v>9266.5641129331743</v>
      </c>
      <c r="AB47" s="366">
        <f t="shared" si="12"/>
        <v>9470.2154615318868</v>
      </c>
      <c r="AC47" s="366">
        <f t="shared" si="12"/>
        <v>9660.1993367578252</v>
      </c>
      <c r="AD47" s="366">
        <f t="shared" si="12"/>
        <v>9706.4358969533259</v>
      </c>
      <c r="AE47" s="366">
        <f t="shared" si="12"/>
        <v>9902.9647909637461</v>
      </c>
      <c r="AF47" s="366">
        <f t="shared" si="12"/>
        <v>9878.4126284727936</v>
      </c>
      <c r="AG47" s="366">
        <f t="shared" si="12"/>
        <v>10035.130518340336</v>
      </c>
      <c r="AH47" s="366">
        <f t="shared" si="12"/>
        <v>10218.049900709084</v>
      </c>
      <c r="AI47" s="366">
        <f t="shared" si="12"/>
        <v>10351.384972757633</v>
      </c>
      <c r="AJ47" s="366">
        <f t="shared" si="12"/>
        <v>10472.746191027572</v>
      </c>
    </row>
    <row r="48" spans="1:40">
      <c r="A48" s="841"/>
      <c r="B48" s="367" t="s">
        <v>369</v>
      </c>
      <c r="D48" s="366">
        <f t="shared" ref="D48:AJ48" si="13">D30+D39</f>
        <v>3962.4951761000298</v>
      </c>
      <c r="E48" s="366">
        <f t="shared" si="13"/>
        <v>7580.0118661452652</v>
      </c>
      <c r="F48" s="366">
        <f t="shared" si="13"/>
        <v>10807.838310786987</v>
      </c>
      <c r="G48" s="366">
        <f t="shared" si="13"/>
        <v>13505.569355844282</v>
      </c>
      <c r="H48" s="366">
        <f t="shared" si="13"/>
        <v>16901.129437610231</v>
      </c>
      <c r="I48" s="366">
        <f t="shared" si="13"/>
        <v>19674.724221112447</v>
      </c>
      <c r="J48" s="366">
        <f t="shared" si="13"/>
        <v>21176.612464676004</v>
      </c>
      <c r="K48" s="366">
        <f t="shared" si="13"/>
        <v>23635.808609758362</v>
      </c>
      <c r="L48" s="366">
        <f t="shared" si="13"/>
        <v>26265.768533584444</v>
      </c>
      <c r="M48" s="366">
        <f t="shared" si="13"/>
        <v>28736.281953955146</v>
      </c>
      <c r="N48" s="366">
        <f t="shared" si="13"/>
        <v>30055.635959162799</v>
      </c>
      <c r="O48" s="366">
        <f t="shared" si="13"/>
        <v>32243.493440613238</v>
      </c>
      <c r="P48" s="366">
        <f t="shared" si="13"/>
        <v>29303.301257352028</v>
      </c>
      <c r="Q48" s="366">
        <f t="shared" si="13"/>
        <v>30197.874588543607</v>
      </c>
      <c r="R48" s="366">
        <f t="shared" si="13"/>
        <v>30831.893778411009</v>
      </c>
      <c r="S48" s="366">
        <f t="shared" si="13"/>
        <v>31099.211263507332</v>
      </c>
      <c r="T48" s="366">
        <f t="shared" si="13"/>
        <v>31484.74075929285</v>
      </c>
      <c r="U48" s="366">
        <f t="shared" si="13"/>
        <v>31647.268829750523</v>
      </c>
      <c r="V48" s="366">
        <f t="shared" si="13"/>
        <v>32405.771016465937</v>
      </c>
      <c r="W48" s="366">
        <f t="shared" si="13"/>
        <v>33646.905437804198</v>
      </c>
      <c r="X48" s="366">
        <f t="shared" si="13"/>
        <v>34286.954629943197</v>
      </c>
      <c r="Y48" s="366">
        <f t="shared" si="13"/>
        <v>34475.640095294832</v>
      </c>
      <c r="Z48" s="366">
        <f t="shared" si="13"/>
        <v>35233.406180274826</v>
      </c>
      <c r="AA48" s="366">
        <f t="shared" si="13"/>
        <v>36381.534965555416</v>
      </c>
      <c r="AB48" s="366">
        <f t="shared" si="13"/>
        <v>37181.092230743438</v>
      </c>
      <c r="AC48" s="366">
        <f t="shared" si="13"/>
        <v>37926.989514265988</v>
      </c>
      <c r="AD48" s="366">
        <f t="shared" si="13"/>
        <v>38108.519260452238</v>
      </c>
      <c r="AE48" s="366">
        <f t="shared" si="13"/>
        <v>38880.112997035001</v>
      </c>
      <c r="AF48" s="366">
        <f t="shared" si="13"/>
        <v>38783.718546270044</v>
      </c>
      <c r="AG48" s="366">
        <f t="shared" si="13"/>
        <v>39399.00996609484</v>
      </c>
      <c r="AH48" s="366">
        <f t="shared" si="13"/>
        <v>40117.17128504999</v>
      </c>
      <c r="AI48" s="366">
        <f t="shared" si="13"/>
        <v>40640.659228018922</v>
      </c>
      <c r="AJ48" s="366">
        <f t="shared" si="13"/>
        <v>41117.136523394001</v>
      </c>
    </row>
    <row r="49" spans="1:38">
      <c r="A49" s="841"/>
      <c r="B49" s="367" t="s">
        <v>370</v>
      </c>
      <c r="D49" s="366">
        <f t="shared" ref="D49:AJ49" si="14">D31+D40</f>
        <v>935.05873149318302</v>
      </c>
      <c r="E49" s="366">
        <f t="shared" si="14"/>
        <v>1810.4744388290214</v>
      </c>
      <c r="F49" s="366">
        <f t="shared" si="14"/>
        <v>2608.9744124112276</v>
      </c>
      <c r="G49" s="366">
        <f t="shared" si="14"/>
        <v>3064.6362322408827</v>
      </c>
      <c r="H49" s="366">
        <f t="shared" si="14"/>
        <v>3919.7749063086412</v>
      </c>
      <c r="I49" s="366">
        <f t="shared" si="14"/>
        <v>4631.2342089373396</v>
      </c>
      <c r="J49" s="366">
        <f t="shared" si="14"/>
        <v>4998.3542581656347</v>
      </c>
      <c r="K49" s="366">
        <f t="shared" si="14"/>
        <v>5670.5953466608908</v>
      </c>
      <c r="L49" s="366">
        <f t="shared" si="14"/>
        <v>6424.5376675434945</v>
      </c>
      <c r="M49" s="366">
        <f t="shared" si="14"/>
        <v>7161.280757403867</v>
      </c>
      <c r="N49" s="366">
        <f t="shared" si="14"/>
        <v>7563.0451902486557</v>
      </c>
      <c r="O49" s="366">
        <f t="shared" si="14"/>
        <v>8265.9806336418933</v>
      </c>
      <c r="P49" s="366">
        <f t="shared" si="14"/>
        <v>7298.7102047137505</v>
      </c>
      <c r="Q49" s="366">
        <f t="shared" si="14"/>
        <v>7592.758267959598</v>
      </c>
      <c r="R49" s="366">
        <f t="shared" si="14"/>
        <v>7811.7904374881491</v>
      </c>
      <c r="S49" s="366">
        <f t="shared" si="14"/>
        <v>7913.5897663177911</v>
      </c>
      <c r="T49" s="366">
        <f t="shared" si="14"/>
        <v>8065.2009229333626</v>
      </c>
      <c r="U49" s="366">
        <f t="shared" si="14"/>
        <v>8144.4085500333822</v>
      </c>
      <c r="V49" s="366">
        <f t="shared" si="14"/>
        <v>8453.6627005386908</v>
      </c>
      <c r="W49" s="366">
        <f t="shared" si="14"/>
        <v>8964.1822564434915</v>
      </c>
      <c r="X49" s="366">
        <f t="shared" si="14"/>
        <v>9264.8559257727757</v>
      </c>
      <c r="Y49" s="366">
        <f t="shared" si="14"/>
        <v>9401.574141396879</v>
      </c>
      <c r="Z49" s="366">
        <f t="shared" si="14"/>
        <v>9780.0024012275135</v>
      </c>
      <c r="AA49" s="366">
        <f t="shared" si="14"/>
        <v>10341.461070799791</v>
      </c>
      <c r="AB49" s="366">
        <f t="shared" si="14"/>
        <v>10782.790682801689</v>
      </c>
      <c r="AC49" s="366">
        <f t="shared" si="14"/>
        <v>11224.098002570456</v>
      </c>
      <c r="AD49" s="366">
        <f t="shared" si="14"/>
        <v>11437.408838149553</v>
      </c>
      <c r="AE49" s="366">
        <f t="shared" si="14"/>
        <v>11933.225065097935</v>
      </c>
      <c r="AF49" s="366">
        <f t="shared" si="14"/>
        <v>12050.788448483818</v>
      </c>
      <c r="AG49" s="366">
        <f t="shared" si="14"/>
        <v>12517.454673638593</v>
      </c>
      <c r="AH49" s="366">
        <f t="shared" si="14"/>
        <v>13060.419770174543</v>
      </c>
      <c r="AI49" s="366">
        <f t="shared" si="14"/>
        <v>13535.951487510729</v>
      </c>
      <c r="AJ49" s="366">
        <f t="shared" si="14"/>
        <v>14014.460178206475</v>
      </c>
    </row>
    <row r="50" spans="1:38">
      <c r="A50" s="841"/>
      <c r="B50" s="367" t="s">
        <v>371</v>
      </c>
      <c r="D50" s="366">
        <f t="shared" ref="D50:AJ50" si="15">D32+D41</f>
        <v>8786.7652151686016</v>
      </c>
      <c r="E50" s="366">
        <f t="shared" si="15"/>
        <v>17013.063764081606</v>
      </c>
      <c r="F50" s="366">
        <f t="shared" si="15"/>
        <v>24516.583656335926</v>
      </c>
      <c r="G50" s="366">
        <f t="shared" si="15"/>
        <v>28798.446702484947</v>
      </c>
      <c r="H50" s="366">
        <f t="shared" si="15"/>
        <v>36834.201572604325</v>
      </c>
      <c r="I50" s="366">
        <f t="shared" si="15"/>
        <v>43519.798575012035</v>
      </c>
      <c r="J50" s="366">
        <f t="shared" si="15"/>
        <v>46969.632868520996</v>
      </c>
      <c r="K50" s="366">
        <f t="shared" si="15"/>
        <v>53286.695544535643</v>
      </c>
      <c r="L50" s="366">
        <f t="shared" si="15"/>
        <v>60371.506301605223</v>
      </c>
      <c r="M50" s="366">
        <f t="shared" si="15"/>
        <v>67294.69554787151</v>
      </c>
      <c r="N50" s="366">
        <f t="shared" si="15"/>
        <v>71070.083792816513</v>
      </c>
      <c r="O50" s="366">
        <f t="shared" si="15"/>
        <v>77675.581923028745</v>
      </c>
      <c r="P50" s="366">
        <f t="shared" si="15"/>
        <v>68586.122756121855</v>
      </c>
      <c r="Q50" s="366">
        <f t="shared" si="15"/>
        <v>71349.298166066859</v>
      </c>
      <c r="R50" s="366">
        <f t="shared" si="15"/>
        <v>73407.547753387451</v>
      </c>
      <c r="S50" s="366">
        <f t="shared" si="15"/>
        <v>74364.158040379203</v>
      </c>
      <c r="T50" s="366">
        <f t="shared" si="15"/>
        <v>75788.851048757235</v>
      </c>
      <c r="U50" s="366">
        <f t="shared" si="15"/>
        <v>76533.166672084015</v>
      </c>
      <c r="V50" s="366">
        <f t="shared" si="15"/>
        <v>79439.233981853176</v>
      </c>
      <c r="W50" s="366">
        <f t="shared" si="15"/>
        <v>84236.596248418253</v>
      </c>
      <c r="X50" s="366">
        <f t="shared" si="15"/>
        <v>87062.032608507405</v>
      </c>
      <c r="Y50" s="366">
        <f t="shared" si="15"/>
        <v>88346.776358675314</v>
      </c>
      <c r="Z50" s="366">
        <f t="shared" si="15"/>
        <v>91902.874128712399</v>
      </c>
      <c r="AA50" s="366">
        <f t="shared" si="15"/>
        <v>97178.91224417332</v>
      </c>
      <c r="AB50" s="366">
        <f t="shared" si="15"/>
        <v>101326.09525263478</v>
      </c>
      <c r="AC50" s="366">
        <f t="shared" si="15"/>
        <v>105473.068780545</v>
      </c>
      <c r="AD50" s="366">
        <f t="shared" si="15"/>
        <v>107477.55488067682</v>
      </c>
      <c r="AE50" s="366">
        <f t="shared" si="15"/>
        <v>112136.7496770391</v>
      </c>
      <c r="AF50" s="366">
        <f t="shared" si="15"/>
        <v>113241.49509347198</v>
      </c>
      <c r="AG50" s="366">
        <f t="shared" si="15"/>
        <v>117626.76675200829</v>
      </c>
      <c r="AH50" s="366">
        <f t="shared" si="15"/>
        <v>122729.02039940667</v>
      </c>
      <c r="AI50" s="366">
        <f t="shared" si="15"/>
        <v>127197.60126162329</v>
      </c>
      <c r="AJ50" s="366">
        <f t="shared" si="15"/>
        <v>131694.15680081074</v>
      </c>
    </row>
    <row r="51" spans="1:38">
      <c r="A51" s="841"/>
      <c r="B51" s="367" t="s">
        <v>372</v>
      </c>
      <c r="D51" s="366">
        <f t="shared" ref="D51:AJ51" si="16">D33+D42</f>
        <v>3328.6925989960423</v>
      </c>
      <c r="E51" s="366">
        <f t="shared" si="16"/>
        <v>6445.063462033052</v>
      </c>
      <c r="F51" s="366">
        <f t="shared" si="16"/>
        <v>9287.6238946993326</v>
      </c>
      <c r="G51" s="366">
        <f t="shared" si="16"/>
        <v>10909.723209134865</v>
      </c>
      <c r="H51" s="366">
        <f t="shared" si="16"/>
        <v>13953.910359752816</v>
      </c>
      <c r="I51" s="366">
        <f t="shared" si="16"/>
        <v>16486.616846932768</v>
      </c>
      <c r="J51" s="366">
        <f t="shared" si="16"/>
        <v>17793.518488135407</v>
      </c>
      <c r="K51" s="366">
        <f t="shared" si="16"/>
        <v>20186.613018616805</v>
      </c>
      <c r="L51" s="366">
        <f t="shared" si="16"/>
        <v>22870.553758450558</v>
      </c>
      <c r="M51" s="366">
        <f t="shared" si="16"/>
        <v>25493.267378442666</v>
      </c>
      <c r="N51" s="366">
        <f t="shared" si="16"/>
        <v>26923.49870948934</v>
      </c>
      <c r="O51" s="366">
        <f t="shared" si="16"/>
        <v>29425.86131965246</v>
      </c>
      <c r="P51" s="366">
        <f t="shared" si="16"/>
        <v>25982.499090566282</v>
      </c>
      <c r="Q51" s="366">
        <f t="shared" si="16"/>
        <v>27029.273564627983</v>
      </c>
      <c r="R51" s="366">
        <f t="shared" si="16"/>
        <v>27809.000802175349</v>
      </c>
      <c r="S51" s="366">
        <f t="shared" si="16"/>
        <v>28171.393731138101</v>
      </c>
      <c r="T51" s="366">
        <f t="shared" si="16"/>
        <v>28711.110561700803</v>
      </c>
      <c r="U51" s="366">
        <f t="shared" si="16"/>
        <v>28993.079846871635</v>
      </c>
      <c r="V51" s="366">
        <f t="shared" si="16"/>
        <v>30093.986097275789</v>
      </c>
      <c r="W51" s="366">
        <f t="shared" si="16"/>
        <v>31911.372118225903</v>
      </c>
      <c r="X51" s="366">
        <f t="shared" si="16"/>
        <v>32981.732924558513</v>
      </c>
      <c r="Y51" s="366">
        <f t="shared" si="16"/>
        <v>33468.432740482545</v>
      </c>
      <c r="Z51" s="366">
        <f t="shared" si="16"/>
        <v>34815.590202707033</v>
      </c>
      <c r="AA51" s="366">
        <f t="shared" si="16"/>
        <v>36814.313122563588</v>
      </c>
      <c r="AB51" s="366">
        <f t="shared" si="16"/>
        <v>38385.391562569799</v>
      </c>
      <c r="AC51" s="366">
        <f t="shared" si="16"/>
        <v>39956.390645003165</v>
      </c>
      <c r="AD51" s="366">
        <f t="shared" si="16"/>
        <v>40715.750646426764</v>
      </c>
      <c r="AE51" s="366">
        <f t="shared" si="16"/>
        <v>42480.79464796203</v>
      </c>
      <c r="AF51" s="366">
        <f t="shared" si="16"/>
        <v>42899.305647334892</v>
      </c>
      <c r="AG51" s="366">
        <f t="shared" si="16"/>
        <v>44560.579273851945</v>
      </c>
      <c r="AH51" s="366">
        <f t="shared" si="16"/>
        <v>46493.467377539564</v>
      </c>
      <c r="AI51" s="366">
        <f t="shared" si="16"/>
        <v>48186.301051802096</v>
      </c>
      <c r="AJ51" s="366">
        <f t="shared" si="16"/>
        <v>49889.732380367597</v>
      </c>
    </row>
    <row r="52" spans="1:38">
      <c r="A52" s="841"/>
      <c r="B52" s="367" t="s">
        <v>373</v>
      </c>
      <c r="D52" s="366">
        <f t="shared" ref="D52:AJ52" si="17">D34+D43</f>
        <v>2954.6923136775877</v>
      </c>
      <c r="E52" s="366">
        <f t="shared" si="17"/>
        <v>5671.7958245000946</v>
      </c>
      <c r="F52" s="366">
        <f t="shared" si="17"/>
        <v>8101.9954680223245</v>
      </c>
      <c r="G52" s="366">
        <f t="shared" si="17"/>
        <v>9430.2430287126899</v>
      </c>
      <c r="H52" s="366">
        <f t="shared" si="17"/>
        <v>11974.06879721159</v>
      </c>
      <c r="I52" s="366">
        <f t="shared" si="17"/>
        <v>14033.096854869582</v>
      </c>
      <c r="J52" s="366">
        <f t="shared" si="17"/>
        <v>15000.640557043065</v>
      </c>
      <c r="K52" s="366">
        <f t="shared" si="17"/>
        <v>16885.023519679195</v>
      </c>
      <c r="L52" s="366">
        <f t="shared" si="17"/>
        <v>18988.46518450911</v>
      </c>
      <c r="M52" s="366">
        <f t="shared" si="17"/>
        <v>21008.446307820122</v>
      </c>
      <c r="N52" s="366">
        <f t="shared" si="17"/>
        <v>21997.219392311625</v>
      </c>
      <c r="O52" s="366">
        <f t="shared" si="17"/>
        <v>23864.283765192013</v>
      </c>
      <c r="P52" s="366">
        <f t="shared" si="17"/>
        <v>20784.580022120957</v>
      </c>
      <c r="Q52" s="366">
        <f t="shared" si="17"/>
        <v>21436.327402528645</v>
      </c>
      <c r="R52" s="366">
        <f t="shared" si="17"/>
        <v>21860.210242908048</v>
      </c>
      <c r="S52" s="366">
        <f t="shared" si="17"/>
        <v>21939.31469806024</v>
      </c>
      <c r="T52" s="366">
        <f t="shared" si="17"/>
        <v>22159.107206487846</v>
      </c>
      <c r="U52" s="366">
        <f t="shared" si="17"/>
        <v>22169.185464911643</v>
      </c>
      <c r="V52" s="366">
        <f t="shared" si="17"/>
        <v>22827.863332551839</v>
      </c>
      <c r="W52" s="366">
        <f t="shared" si="17"/>
        <v>24041.116475903022</v>
      </c>
      <c r="X52" s="366">
        <f t="shared" si="17"/>
        <v>24652.621007168716</v>
      </c>
      <c r="Y52" s="366">
        <f t="shared" si="17"/>
        <v>24801.511768750173</v>
      </c>
      <c r="Z52" s="366">
        <f t="shared" si="17"/>
        <v>25611.781896453307</v>
      </c>
      <c r="AA52" s="366">
        <f t="shared" si="17"/>
        <v>26910.040141421166</v>
      </c>
      <c r="AB52" s="366">
        <f t="shared" si="17"/>
        <v>27864.600519828804</v>
      </c>
      <c r="AC52" s="366">
        <f t="shared" si="17"/>
        <v>28805.757306410804</v>
      </c>
      <c r="AD52" s="366">
        <f t="shared" si="17"/>
        <v>29123.722184686962</v>
      </c>
      <c r="AE52" s="366">
        <f t="shared" si="17"/>
        <v>30187.83911249481</v>
      </c>
      <c r="AF52" s="366">
        <f t="shared" si="17"/>
        <v>30238.328855822976</v>
      </c>
      <c r="AG52" s="366">
        <f t="shared" si="17"/>
        <v>31203.606300845779</v>
      </c>
      <c r="AH52" s="366">
        <f t="shared" si="17"/>
        <v>32354.776363811623</v>
      </c>
      <c r="AI52" s="366">
        <f t="shared" si="17"/>
        <v>33315.863474560807</v>
      </c>
      <c r="AJ52" s="366">
        <f t="shared" si="17"/>
        <v>34271.752150294444</v>
      </c>
    </row>
    <row r="53" spans="1:38">
      <c r="A53" s="841"/>
      <c r="B53" s="367" t="s">
        <v>374</v>
      </c>
      <c r="D53" s="366">
        <f t="shared" ref="D53:AJ53" si="18">D35+D44</f>
        <v>11287.455256076668</v>
      </c>
      <c r="E53" s="366">
        <f t="shared" si="18"/>
        <v>21667.278617909127</v>
      </c>
      <c r="F53" s="366">
        <f t="shared" si="18"/>
        <v>30951.077683081021</v>
      </c>
      <c r="G53" s="366">
        <f t="shared" si="18"/>
        <v>36025.221897990748</v>
      </c>
      <c r="H53" s="366">
        <f t="shared" si="18"/>
        <v>45743.093166098377</v>
      </c>
      <c r="I53" s="366">
        <f t="shared" si="18"/>
        <v>53608.950116493797</v>
      </c>
      <c r="J53" s="366">
        <f t="shared" si="18"/>
        <v>57305.140814938743</v>
      </c>
      <c r="K53" s="366">
        <f t="shared" si="18"/>
        <v>64503.822138746196</v>
      </c>
      <c r="L53" s="366">
        <f t="shared" si="18"/>
        <v>72539.347044547292</v>
      </c>
      <c r="M53" s="366">
        <f t="shared" si="18"/>
        <v>80256.037693501275</v>
      </c>
      <c r="N53" s="366">
        <f t="shared" si="18"/>
        <v>84033.328444875398</v>
      </c>
      <c r="O53" s="366">
        <f t="shared" si="18"/>
        <v>91165.849645660477</v>
      </c>
      <c r="P53" s="366">
        <f t="shared" si="18"/>
        <v>79400.828279148351</v>
      </c>
      <c r="Q53" s="366">
        <f t="shared" si="18"/>
        <v>81890.620316228655</v>
      </c>
      <c r="R53" s="366">
        <f t="shared" si="18"/>
        <v>83509.928889393108</v>
      </c>
      <c r="S53" s="366">
        <f t="shared" si="18"/>
        <v>83812.122114032187</v>
      </c>
      <c r="T53" s="366">
        <f t="shared" si="18"/>
        <v>84651.768967619311</v>
      </c>
      <c r="U53" s="366">
        <f t="shared" si="18"/>
        <v>84690.269724700192</v>
      </c>
      <c r="V53" s="366">
        <f t="shared" si="18"/>
        <v>87206.537467618895</v>
      </c>
      <c r="W53" s="366">
        <f t="shared" si="18"/>
        <v>91841.382357043476</v>
      </c>
      <c r="X53" s="366">
        <f t="shared" si="18"/>
        <v>94177.439483397466</v>
      </c>
      <c r="Y53" s="366">
        <f t="shared" si="18"/>
        <v>94746.228931156249</v>
      </c>
      <c r="Z53" s="366">
        <f t="shared" si="18"/>
        <v>97841.606331181101</v>
      </c>
      <c r="AA53" s="366">
        <f t="shared" si="18"/>
        <v>102801.18597440547</v>
      </c>
      <c r="AB53" s="366">
        <f t="shared" si="18"/>
        <v>106447.77804445731</v>
      </c>
      <c r="AC53" s="366">
        <f t="shared" si="18"/>
        <v>110043.16598665377</v>
      </c>
      <c r="AD53" s="366">
        <f t="shared" si="18"/>
        <v>111257.84892332785</v>
      </c>
      <c r="AE53" s="366">
        <f t="shared" si="18"/>
        <v>115322.96668677947</v>
      </c>
      <c r="AF53" s="366">
        <f t="shared" si="18"/>
        <v>115515.8465734835</v>
      </c>
      <c r="AG53" s="366">
        <f t="shared" si="18"/>
        <v>119203.37976262748</v>
      </c>
      <c r="AH53" s="366">
        <f t="shared" si="18"/>
        <v>123601.05613580256</v>
      </c>
      <c r="AI53" s="366">
        <f t="shared" si="18"/>
        <v>127272.58149550096</v>
      </c>
      <c r="AJ53" s="366">
        <f t="shared" si="18"/>
        <v>130924.24789988017</v>
      </c>
    </row>
    <row r="54" spans="1:38">
      <c r="A54" s="841"/>
      <c r="B54" s="367" t="s">
        <v>46</v>
      </c>
      <c r="D54" s="368">
        <f t="shared" ref="D54:AJ54" si="19">SUM(D47:D53)</f>
        <v>32264.427197093431</v>
      </c>
      <c r="E54" s="368">
        <f t="shared" si="19"/>
        <v>62118.355989592892</v>
      </c>
      <c r="F54" s="368">
        <f t="shared" si="19"/>
        <v>89026.905441760624</v>
      </c>
      <c r="G54" s="368">
        <f t="shared" si="19"/>
        <v>105173.77841792208</v>
      </c>
      <c r="H54" s="368">
        <f t="shared" si="19"/>
        <v>133630.9828516749</v>
      </c>
      <c r="I54" s="368">
        <f t="shared" si="19"/>
        <v>156965.67429498385</v>
      </c>
      <c r="J54" s="368">
        <f t="shared" si="19"/>
        <v>168637.6915848917</v>
      </c>
      <c r="K54" s="368">
        <f t="shared" si="19"/>
        <v>190188.72022038224</v>
      </c>
      <c r="L54" s="368">
        <f t="shared" si="19"/>
        <v>214150.20485450319</v>
      </c>
      <c r="M54" s="368">
        <f t="shared" si="19"/>
        <v>237269.28848046623</v>
      </c>
      <c r="N54" s="368">
        <f t="shared" si="19"/>
        <v>249298.1365826434</v>
      </c>
      <c r="O54" s="368">
        <f t="shared" si="19"/>
        <v>270853.63437702914</v>
      </c>
      <c r="P54" s="368">
        <f t="shared" si="19"/>
        <v>238819.74318498239</v>
      </c>
      <c r="Q54" s="368">
        <f t="shared" si="19"/>
        <v>247187.70631031462</v>
      </c>
      <c r="R54" s="368">
        <f t="shared" si="19"/>
        <v>253083.41385736089</v>
      </c>
      <c r="S54" s="368">
        <f t="shared" si="19"/>
        <v>255220.91870564566</v>
      </c>
      <c r="T54" s="368">
        <f t="shared" si="19"/>
        <v>258880.1049048547</v>
      </c>
      <c r="U54" s="368">
        <f t="shared" si="19"/>
        <v>260238.10126205196</v>
      </c>
      <c r="V54" s="368">
        <f t="shared" si="19"/>
        <v>268680.97117891733</v>
      </c>
      <c r="W54" s="368">
        <f t="shared" si="19"/>
        <v>283211.594798323</v>
      </c>
      <c r="X54" s="368">
        <f t="shared" si="19"/>
        <v>291158.70030566986</v>
      </c>
      <c r="Y54" s="368">
        <f t="shared" si="19"/>
        <v>294021.28692075581</v>
      </c>
      <c r="Z54" s="368">
        <f t="shared" si="19"/>
        <v>304159.39094556973</v>
      </c>
      <c r="AA54" s="368">
        <f t="shared" si="19"/>
        <v>319694.0116318519</v>
      </c>
      <c r="AB54" s="368">
        <f t="shared" si="19"/>
        <v>331457.96375456773</v>
      </c>
      <c r="AC54" s="368">
        <f t="shared" si="19"/>
        <v>343089.66957220703</v>
      </c>
      <c r="AD54" s="368">
        <f t="shared" si="19"/>
        <v>347827.24063067348</v>
      </c>
      <c r="AE54" s="368">
        <f t="shared" si="19"/>
        <v>360844.65297737211</v>
      </c>
      <c r="AF54" s="368">
        <f t="shared" si="19"/>
        <v>362607.89579333999</v>
      </c>
      <c r="AG54" s="368">
        <f t="shared" si="19"/>
        <v>374545.92724740726</v>
      </c>
      <c r="AH54" s="368">
        <f t="shared" si="19"/>
        <v>388573.96123249398</v>
      </c>
      <c r="AI54" s="368">
        <f t="shared" si="19"/>
        <v>400500.3429717744</v>
      </c>
      <c r="AJ54" s="368">
        <f t="shared" si="19"/>
        <v>412384.232123981</v>
      </c>
      <c r="AK54" s="362"/>
      <c r="AL54" s="362"/>
    </row>
    <row r="55" spans="1:38">
      <c r="A55" s="364"/>
      <c r="B55" s="365"/>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row>
    <row r="56" spans="1:38">
      <c r="A56" s="841" t="s">
        <v>383</v>
      </c>
      <c r="B56" s="367" t="s">
        <v>368</v>
      </c>
      <c r="C56" s="366">
        <f t="shared" ref="C56:AJ56" si="20">C20+C47</f>
        <v>202860.16850706012</v>
      </c>
      <c r="D56" s="366">
        <f t="shared" si="20"/>
        <v>192351.50394470748</v>
      </c>
      <c r="E56" s="366">
        <f t="shared" si="20"/>
        <v>186440.00611819181</v>
      </c>
      <c r="F56" s="366">
        <f t="shared" si="20"/>
        <v>179593.0331116743</v>
      </c>
      <c r="G56" s="366">
        <f t="shared" si="20"/>
        <v>170568.87113838457</v>
      </c>
      <c r="H56" s="366">
        <f t="shared" si="20"/>
        <v>173050.09914258565</v>
      </c>
      <c r="I56" s="366">
        <f t="shared" si="20"/>
        <v>170125.3839266437</v>
      </c>
      <c r="J56" s="366">
        <f t="shared" si="20"/>
        <v>159061.15864657462</v>
      </c>
      <c r="K56" s="366">
        <f t="shared" si="20"/>
        <v>157431.13958503117</v>
      </c>
      <c r="L56" s="366">
        <f t="shared" si="20"/>
        <v>157606.76798017987</v>
      </c>
      <c r="M56" s="366">
        <f t="shared" si="20"/>
        <v>157285.88267404833</v>
      </c>
      <c r="N56" s="366">
        <f t="shared" si="20"/>
        <v>151579.806385873</v>
      </c>
      <c r="O56" s="366">
        <f t="shared" si="20"/>
        <v>151090.51818541982</v>
      </c>
      <c r="P56" s="366">
        <f t="shared" si="20"/>
        <v>128481.16434182148</v>
      </c>
      <c r="Q56" s="366">
        <f t="shared" si="20"/>
        <v>124631.70596164302</v>
      </c>
      <c r="R56" s="366">
        <f t="shared" si="20"/>
        <v>120400.85193191028</v>
      </c>
      <c r="S56" s="366">
        <f t="shared" si="20"/>
        <v>115430.1979625953</v>
      </c>
      <c r="T56" s="366">
        <f t="shared" si="20"/>
        <v>111517.31095835942</v>
      </c>
      <c r="U56" s="366">
        <f t="shared" si="20"/>
        <v>107347.05811748074</v>
      </c>
      <c r="V56" s="366">
        <f t="shared" si="20"/>
        <v>105600.88417778406</v>
      </c>
      <c r="W56" s="366">
        <f t="shared" si="20"/>
        <v>105639.47177152689</v>
      </c>
      <c r="X56" s="366">
        <f t="shared" si="20"/>
        <v>103986.23883718971</v>
      </c>
      <c r="Y56" s="366">
        <f t="shared" si="20"/>
        <v>101241.13611739298</v>
      </c>
      <c r="Z56" s="366">
        <f t="shared" si="20"/>
        <v>100402.46323261604</v>
      </c>
      <c r="AA56" s="366">
        <f t="shared" si="20"/>
        <v>100806.839221145</v>
      </c>
      <c r="AB56" s="366">
        <f t="shared" si="20"/>
        <v>100360.05071733678</v>
      </c>
      <c r="AC56" s="366">
        <f t="shared" si="20"/>
        <v>99901.435927493701</v>
      </c>
      <c r="AD56" s="366">
        <f t="shared" si="20"/>
        <v>98115.174316888253</v>
      </c>
      <c r="AE56" s="366">
        <f t="shared" si="20"/>
        <v>97993.12758612576</v>
      </c>
      <c r="AF56" s="366">
        <f t="shared" si="20"/>
        <v>95829.015719061805</v>
      </c>
      <c r="AG56" s="366">
        <f t="shared" si="20"/>
        <v>95566.249623501586</v>
      </c>
      <c r="AH56" s="366">
        <f t="shared" si="20"/>
        <v>95649.775944259964</v>
      </c>
      <c r="AI56" s="366">
        <f t="shared" si="20"/>
        <v>95364.257666013465</v>
      </c>
      <c r="AJ56" s="366">
        <f t="shared" si="20"/>
        <v>95067.685133461913</v>
      </c>
    </row>
    <row r="57" spans="1:38">
      <c r="A57" s="841"/>
      <c r="B57" s="367" t="s">
        <v>369</v>
      </c>
      <c r="C57" s="366">
        <f t="shared" ref="C57:AJ57" si="21">C21+C48</f>
        <v>796451.00640456588</v>
      </c>
      <c r="D57" s="366">
        <f t="shared" si="21"/>
        <v>755192.85046271852</v>
      </c>
      <c r="E57" s="366">
        <f t="shared" si="21"/>
        <v>731983.66934088117</v>
      </c>
      <c r="F57" s="366">
        <f t="shared" si="21"/>
        <v>705101.71128080983</v>
      </c>
      <c r="G57" s="366">
        <f t="shared" si="21"/>
        <v>669671.87338567723</v>
      </c>
      <c r="H57" s="366">
        <f t="shared" si="21"/>
        <v>679413.44343172794</v>
      </c>
      <c r="I57" s="366">
        <f t="shared" si="21"/>
        <v>667930.69452972908</v>
      </c>
      <c r="J57" s="366">
        <f t="shared" si="21"/>
        <v>624491.34700157633</v>
      </c>
      <c r="K57" s="366">
        <f t="shared" si="21"/>
        <v>618091.71551364451</v>
      </c>
      <c r="L57" s="366">
        <f t="shared" si="21"/>
        <v>618781.25162661739</v>
      </c>
      <c r="M57" s="366">
        <f t="shared" si="21"/>
        <v>617521.42113899766</v>
      </c>
      <c r="N57" s="366">
        <f t="shared" si="21"/>
        <v>595118.74723911716</v>
      </c>
      <c r="O57" s="366">
        <f t="shared" si="21"/>
        <v>593197.74873783044</v>
      </c>
      <c r="P57" s="366">
        <f t="shared" si="21"/>
        <v>504430.97527306277</v>
      </c>
      <c r="Q57" s="366">
        <f t="shared" si="21"/>
        <v>489317.58448980033</v>
      </c>
      <c r="R57" s="366">
        <f t="shared" si="21"/>
        <v>472706.79305286944</v>
      </c>
      <c r="S57" s="366">
        <f t="shared" si="21"/>
        <v>453191.46687777556</v>
      </c>
      <c r="T57" s="366">
        <f t="shared" si="21"/>
        <v>437829.04844242579</v>
      </c>
      <c r="U57" s="366">
        <f t="shared" si="21"/>
        <v>421456.18384055246</v>
      </c>
      <c r="V57" s="366">
        <f t="shared" si="21"/>
        <v>414600.51571277762</v>
      </c>
      <c r="W57" s="366">
        <f t="shared" si="21"/>
        <v>414752.01478771883</v>
      </c>
      <c r="X57" s="366">
        <f t="shared" si="21"/>
        <v>408261.24311940977</v>
      </c>
      <c r="Y57" s="366">
        <f t="shared" si="21"/>
        <v>397483.67234267085</v>
      </c>
      <c r="Z57" s="366">
        <f t="shared" si="21"/>
        <v>394190.95170637919</v>
      </c>
      <c r="AA57" s="366">
        <f t="shared" si="21"/>
        <v>395778.57566134265</v>
      </c>
      <c r="AB57" s="366">
        <f t="shared" si="21"/>
        <v>394024.43557496252</v>
      </c>
      <c r="AC57" s="366">
        <f t="shared" si="21"/>
        <v>392223.86420794326</v>
      </c>
      <c r="AD57" s="366">
        <f t="shared" si="21"/>
        <v>385210.80753970402</v>
      </c>
      <c r="AE57" s="366">
        <f t="shared" si="21"/>
        <v>384731.63884799124</v>
      </c>
      <c r="AF57" s="366">
        <f t="shared" si="21"/>
        <v>376235.10112360702</v>
      </c>
      <c r="AG57" s="366">
        <f t="shared" si="21"/>
        <v>375203.45295532397</v>
      </c>
      <c r="AH57" s="366">
        <f t="shared" si="21"/>
        <v>375531.38634273491</v>
      </c>
      <c r="AI57" s="366">
        <f t="shared" si="21"/>
        <v>374410.41063947149</v>
      </c>
      <c r="AJ57" s="366">
        <f t="shared" si="21"/>
        <v>373246.0347358085</v>
      </c>
    </row>
    <row r="58" spans="1:38">
      <c r="A58" s="841"/>
      <c r="B58" s="367" t="s">
        <v>370</v>
      </c>
      <c r="C58" s="366">
        <f t="shared" ref="C58:AJ58" si="22">C22+C49</f>
        <v>56664.70402402585</v>
      </c>
      <c r="D58" s="366">
        <f t="shared" si="22"/>
        <v>53913.778559085629</v>
      </c>
      <c r="E58" s="366">
        <f t="shared" si="22"/>
        <v>52642.89925119721</v>
      </c>
      <c r="F58" s="366">
        <f t="shared" si="22"/>
        <v>51010.098612355578</v>
      </c>
      <c r="G58" s="366">
        <f t="shared" si="22"/>
        <v>48347.042018255896</v>
      </c>
      <c r="H58" s="366">
        <f t="shared" si="22"/>
        <v>49845.23267270255</v>
      </c>
      <c r="I58" s="366">
        <f t="shared" si="22"/>
        <v>49451.089574473801</v>
      </c>
      <c r="J58" s="366">
        <f t="shared" si="22"/>
        <v>46096.923781334473</v>
      </c>
      <c r="K58" s="366">
        <f t="shared" si="22"/>
        <v>46111.300037895926</v>
      </c>
      <c r="L58" s="366">
        <f t="shared" si="22"/>
        <v>46795.651773410827</v>
      </c>
      <c r="M58" s="366">
        <f t="shared" si="22"/>
        <v>47309.084235358241</v>
      </c>
      <c r="N58" s="366">
        <f t="shared" si="22"/>
        <v>45773.539063659613</v>
      </c>
      <c r="O58" s="366">
        <f t="shared" si="22"/>
        <v>46215.526511137126</v>
      </c>
      <c r="P58" s="366">
        <f t="shared" si="22"/>
        <v>37961.926260839937</v>
      </c>
      <c r="Q58" s="366">
        <f t="shared" si="22"/>
        <v>36956.68154674735</v>
      </c>
      <c r="R58" s="366">
        <f t="shared" si="22"/>
        <v>35765.215793839154</v>
      </c>
      <c r="S58" s="366">
        <f t="shared" si="22"/>
        <v>34232.470858204033</v>
      </c>
      <c r="T58" s="366">
        <f t="shared" si="22"/>
        <v>33093.005107788973</v>
      </c>
      <c r="U58" s="366">
        <f t="shared" si="22"/>
        <v>31808.510243081706</v>
      </c>
      <c r="V58" s="366">
        <f t="shared" si="22"/>
        <v>31523.478720880914</v>
      </c>
      <c r="W58" s="366">
        <f t="shared" si="22"/>
        <v>32004.376278560994</v>
      </c>
      <c r="X58" s="366">
        <f t="shared" si="22"/>
        <v>31749.17329497898</v>
      </c>
      <c r="Y58" s="366">
        <f t="shared" si="22"/>
        <v>30993.670613602328</v>
      </c>
      <c r="Z58" s="366">
        <f t="shared" si="22"/>
        <v>31080.305891011179</v>
      </c>
      <c r="AA58" s="366">
        <f t="shared" si="22"/>
        <v>31740.964487202778</v>
      </c>
      <c r="AB58" s="366">
        <f t="shared" si="22"/>
        <v>32019.27654736652</v>
      </c>
      <c r="AC58" s="366">
        <f t="shared" si="22"/>
        <v>32297.156954090715</v>
      </c>
      <c r="AD58" s="366">
        <f t="shared" si="22"/>
        <v>31938.187543819182</v>
      </c>
      <c r="AE58" s="366">
        <f t="shared" si="22"/>
        <v>32381.73832556024</v>
      </c>
      <c r="AF58" s="366">
        <f t="shared" si="22"/>
        <v>31817.425519137883</v>
      </c>
      <c r="AG58" s="366">
        <f t="shared" si="22"/>
        <v>32194.544581426911</v>
      </c>
      <c r="AH58" s="366">
        <f t="shared" si="22"/>
        <v>32757.831349606568</v>
      </c>
      <c r="AI58" s="366">
        <f t="shared" si="22"/>
        <v>33142.288159175725</v>
      </c>
      <c r="AJ58" s="366">
        <f t="shared" si="22"/>
        <v>33529.065455502263</v>
      </c>
    </row>
    <row r="59" spans="1:38">
      <c r="A59" s="841"/>
      <c r="B59" s="367" t="s">
        <v>371</v>
      </c>
      <c r="C59" s="366">
        <f t="shared" ref="C59:AJ59" si="23">C23+C50</f>
        <v>532479.33362543595</v>
      </c>
      <c r="D59" s="366">
        <f t="shared" si="23"/>
        <v>506628.83314803924</v>
      </c>
      <c r="E59" s="366">
        <f t="shared" si="23"/>
        <v>494686.35539864795</v>
      </c>
      <c r="F59" s="366">
        <f t="shared" si="23"/>
        <v>479342.89581320767</v>
      </c>
      <c r="G59" s="366">
        <f t="shared" si="23"/>
        <v>454318.10083621839</v>
      </c>
      <c r="H59" s="366">
        <f t="shared" si="23"/>
        <v>468396.62776164553</v>
      </c>
      <c r="I59" s="366">
        <f t="shared" si="23"/>
        <v>464692.85734736914</v>
      </c>
      <c r="J59" s="366">
        <f t="shared" si="23"/>
        <v>433173.6956900034</v>
      </c>
      <c r="K59" s="366">
        <f t="shared" si="23"/>
        <v>433308.78965450416</v>
      </c>
      <c r="L59" s="366">
        <f t="shared" si="23"/>
        <v>439739.65631777811</v>
      </c>
      <c r="M59" s="366">
        <f t="shared" si="23"/>
        <v>444564.39121948171</v>
      </c>
      <c r="N59" s="366">
        <f t="shared" si="23"/>
        <v>430134.84316376148</v>
      </c>
      <c r="O59" s="366">
        <f t="shared" si="23"/>
        <v>434288.20786507271</v>
      </c>
      <c r="P59" s="366">
        <f t="shared" si="23"/>
        <v>356728.96464683319</v>
      </c>
      <c r="Q59" s="366">
        <f t="shared" si="23"/>
        <v>347282.6603784202</v>
      </c>
      <c r="R59" s="366">
        <f t="shared" si="23"/>
        <v>336086.43336067954</v>
      </c>
      <c r="S59" s="366">
        <f t="shared" si="23"/>
        <v>321683.19917809719</v>
      </c>
      <c r="T59" s="366">
        <f t="shared" si="23"/>
        <v>310975.61720232689</v>
      </c>
      <c r="U59" s="366">
        <f t="shared" si="23"/>
        <v>298905.19379881595</v>
      </c>
      <c r="V59" s="366">
        <f t="shared" si="23"/>
        <v>296226.74700168165</v>
      </c>
      <c r="W59" s="366">
        <f t="shared" si="23"/>
        <v>300745.75077071245</v>
      </c>
      <c r="X59" s="366">
        <f t="shared" si="23"/>
        <v>298347.60333524086</v>
      </c>
      <c r="Y59" s="366">
        <f t="shared" si="23"/>
        <v>291248.12984004535</v>
      </c>
      <c r="Z59" s="366">
        <f t="shared" si="23"/>
        <v>292062.24323881225</v>
      </c>
      <c r="AA59" s="366">
        <f t="shared" si="23"/>
        <v>298270.46500777907</v>
      </c>
      <c r="AB59" s="366">
        <f t="shared" si="23"/>
        <v>300885.76888853475</v>
      </c>
      <c r="AC59" s="366">
        <f t="shared" si="23"/>
        <v>303497.01651346427</v>
      </c>
      <c r="AD59" s="366">
        <f t="shared" si="23"/>
        <v>300123.77393388143</v>
      </c>
      <c r="AE59" s="366">
        <f t="shared" si="23"/>
        <v>304291.82931788871</v>
      </c>
      <c r="AF59" s="366">
        <f t="shared" si="23"/>
        <v>298988.97082254267</v>
      </c>
      <c r="AG59" s="366">
        <f t="shared" si="23"/>
        <v>302532.76603763748</v>
      </c>
      <c r="AH59" s="366">
        <f t="shared" si="23"/>
        <v>307825.98283151956</v>
      </c>
      <c r="AI59" s="366">
        <f t="shared" si="23"/>
        <v>311438.73100153287</v>
      </c>
      <c r="AJ59" s="366">
        <f t="shared" si="23"/>
        <v>315073.28483105754</v>
      </c>
    </row>
    <row r="60" spans="1:38">
      <c r="A60" s="841"/>
      <c r="B60" s="367" t="s">
        <v>372</v>
      </c>
      <c r="C60" s="366">
        <f t="shared" ref="C60:AJ60" si="24">C24+C51</f>
        <v>201719.28730922961</v>
      </c>
      <c r="D60" s="366">
        <f t="shared" si="24"/>
        <v>191926.33535110648</v>
      </c>
      <c r="E60" s="366">
        <f t="shared" si="24"/>
        <v>187402.16333505572</v>
      </c>
      <c r="F60" s="366">
        <f t="shared" si="24"/>
        <v>181589.59646723021</v>
      </c>
      <c r="G60" s="366">
        <f t="shared" si="24"/>
        <v>172109.44674301802</v>
      </c>
      <c r="H60" s="366">
        <f t="shared" si="24"/>
        <v>177442.81883546186</v>
      </c>
      <c r="I60" s="366">
        <f t="shared" si="24"/>
        <v>176039.71850621901</v>
      </c>
      <c r="J60" s="366">
        <f t="shared" si="24"/>
        <v>164099.30612848594</v>
      </c>
      <c r="K60" s="366">
        <f t="shared" si="24"/>
        <v>164150.48381091977</v>
      </c>
      <c r="L60" s="366">
        <f t="shared" si="24"/>
        <v>166586.69073610497</v>
      </c>
      <c r="M60" s="366">
        <f t="shared" si="24"/>
        <v>168414.44633969097</v>
      </c>
      <c r="N60" s="366">
        <f t="shared" si="24"/>
        <v>162948.09681927625</v>
      </c>
      <c r="O60" s="366">
        <f t="shared" si="24"/>
        <v>164521.51707162571</v>
      </c>
      <c r="P60" s="366">
        <f t="shared" si="24"/>
        <v>135139.72837439179</v>
      </c>
      <c r="Q60" s="366">
        <f t="shared" si="24"/>
        <v>131561.18242077401</v>
      </c>
      <c r="R60" s="366">
        <f t="shared" si="24"/>
        <v>127319.71276749409</v>
      </c>
      <c r="S60" s="366">
        <f t="shared" si="24"/>
        <v>121863.33173862546</v>
      </c>
      <c r="T60" s="366">
        <f t="shared" si="24"/>
        <v>117806.9756163109</v>
      </c>
      <c r="U60" s="366">
        <f t="shared" si="24"/>
        <v>113234.33391414557</v>
      </c>
      <c r="V60" s="366">
        <f t="shared" si="24"/>
        <v>112219.65720296696</v>
      </c>
      <c r="W60" s="366">
        <f t="shared" si="24"/>
        <v>113931.59260040316</v>
      </c>
      <c r="X60" s="366">
        <f t="shared" si="24"/>
        <v>113023.10177081151</v>
      </c>
      <c r="Y60" s="366">
        <f t="shared" si="24"/>
        <v>110333.60634200113</v>
      </c>
      <c r="Z60" s="366">
        <f t="shared" si="24"/>
        <v>110642.01713697045</v>
      </c>
      <c r="AA60" s="366">
        <f t="shared" si="24"/>
        <v>112993.879437742</v>
      </c>
      <c r="AB60" s="366">
        <f t="shared" si="24"/>
        <v>113984.635701147</v>
      </c>
      <c r="AC60" s="366">
        <f t="shared" si="24"/>
        <v>114973.85533208051</v>
      </c>
      <c r="AD60" s="366">
        <f t="shared" si="24"/>
        <v>113695.96895019656</v>
      </c>
      <c r="AE60" s="366">
        <f t="shared" si="24"/>
        <v>115274.95447777156</v>
      </c>
      <c r="AF60" s="366">
        <f t="shared" si="24"/>
        <v>113266.07118628334</v>
      </c>
      <c r="AG60" s="366">
        <f t="shared" si="24"/>
        <v>114608.56806835323</v>
      </c>
      <c r="AH60" s="366">
        <f t="shared" si="24"/>
        <v>116613.79879151632</v>
      </c>
      <c r="AI60" s="366">
        <f t="shared" si="24"/>
        <v>117982.41713980222</v>
      </c>
      <c r="AJ60" s="366">
        <f t="shared" si="24"/>
        <v>119359.29613186927</v>
      </c>
    </row>
    <row r="61" spans="1:38">
      <c r="A61" s="841"/>
      <c r="B61" s="367" t="s">
        <v>373</v>
      </c>
      <c r="C61" s="366">
        <f t="shared" ref="C61:AJ61" si="25">C25+C52</f>
        <v>363255.99253050808</v>
      </c>
      <c r="D61" s="366">
        <f t="shared" si="25"/>
        <v>340546.3745580219</v>
      </c>
      <c r="E61" s="366">
        <f t="shared" si="25"/>
        <v>329496.95802567608</v>
      </c>
      <c r="F61" s="366">
        <f t="shared" si="25"/>
        <v>316299.06638275721</v>
      </c>
      <c r="G61" s="366">
        <f t="shared" si="25"/>
        <v>297514.07798262883</v>
      </c>
      <c r="H61" s="366">
        <f t="shared" si="25"/>
        <v>304429.6971438544</v>
      </c>
      <c r="I61" s="366">
        <f t="shared" si="25"/>
        <v>299476.48492956971</v>
      </c>
      <c r="J61" s="366">
        <f t="shared" si="25"/>
        <v>276370.90998130833</v>
      </c>
      <c r="K61" s="366">
        <f t="shared" si="25"/>
        <v>274149.62610328291</v>
      </c>
      <c r="L61" s="366">
        <f t="shared" si="25"/>
        <v>275990.67567579384</v>
      </c>
      <c r="M61" s="366">
        <f t="shared" si="25"/>
        <v>276750.30208802584</v>
      </c>
      <c r="N61" s="366">
        <f t="shared" si="25"/>
        <v>265272.82622395013</v>
      </c>
      <c r="O61" s="366">
        <f t="shared" si="25"/>
        <v>265634.84498999425</v>
      </c>
      <c r="P61" s="366">
        <f t="shared" si="25"/>
        <v>215027.03791972331</v>
      </c>
      <c r="Q61" s="366">
        <f t="shared" si="25"/>
        <v>207334.79757997996</v>
      </c>
      <c r="R61" s="366">
        <f t="shared" si="25"/>
        <v>198675.96142866212</v>
      </c>
      <c r="S61" s="366">
        <f t="shared" si="25"/>
        <v>188189.65756404944</v>
      </c>
      <c r="T61" s="366">
        <f t="shared" si="25"/>
        <v>180088.00409154632</v>
      </c>
      <c r="U61" s="366">
        <f t="shared" si="25"/>
        <v>171287.66695561656</v>
      </c>
      <c r="V61" s="366">
        <f t="shared" si="25"/>
        <v>168192.59873296646</v>
      </c>
      <c r="W61" s="366">
        <f t="shared" si="25"/>
        <v>169373.49190019624</v>
      </c>
      <c r="X61" s="366">
        <f t="shared" si="25"/>
        <v>166482.92992436164</v>
      </c>
      <c r="Y61" s="366">
        <f t="shared" si="25"/>
        <v>160903.79014434188</v>
      </c>
      <c r="Z61" s="366">
        <f t="shared" si="25"/>
        <v>159951.28060961358</v>
      </c>
      <c r="AA61" s="366">
        <f t="shared" si="25"/>
        <v>162078.03472824857</v>
      </c>
      <c r="AB61" s="366">
        <f t="shared" si="25"/>
        <v>162128.64830458845</v>
      </c>
      <c r="AC61" s="366">
        <f t="shared" si="25"/>
        <v>162165.93959006018</v>
      </c>
      <c r="AD61" s="366">
        <f t="shared" si="25"/>
        <v>158863.69408627739</v>
      </c>
      <c r="AE61" s="366">
        <f t="shared" si="25"/>
        <v>159766.13773938257</v>
      </c>
      <c r="AF61" s="366">
        <f t="shared" si="25"/>
        <v>155460.95159413805</v>
      </c>
      <c r="AG61" s="366">
        <f t="shared" si="25"/>
        <v>156019.07256075685</v>
      </c>
      <c r="AH61" s="366">
        <f t="shared" si="25"/>
        <v>157501.81103904682</v>
      </c>
      <c r="AI61" s="366">
        <f t="shared" si="25"/>
        <v>158054.51878958309</v>
      </c>
      <c r="AJ61" s="366">
        <f t="shared" si="25"/>
        <v>158601.64359390619</v>
      </c>
    </row>
    <row r="62" spans="1:38">
      <c r="A62" s="841"/>
      <c r="B62" s="367" t="s">
        <v>374</v>
      </c>
      <c r="C62" s="366">
        <f t="shared" ref="C62:AJ62" si="26">C26+C53</f>
        <v>1378525.3735630903</v>
      </c>
      <c r="D62" s="366">
        <f t="shared" si="26"/>
        <v>1300948.3077642072</v>
      </c>
      <c r="E62" s="366">
        <f t="shared" si="26"/>
        <v>1258737.5523033882</v>
      </c>
      <c r="F62" s="366">
        <f t="shared" si="26"/>
        <v>1208319.2360867071</v>
      </c>
      <c r="G62" s="366">
        <f t="shared" si="26"/>
        <v>1136557.2068998318</v>
      </c>
      <c r="H62" s="366">
        <f t="shared" si="26"/>
        <v>1162976.1140357975</v>
      </c>
      <c r="I62" s="366">
        <f t="shared" si="26"/>
        <v>1144053.9538556051</v>
      </c>
      <c r="J62" s="366">
        <f t="shared" si="26"/>
        <v>1055786.5081431908</v>
      </c>
      <c r="K62" s="366">
        <f t="shared" si="26"/>
        <v>1047300.8048203127</v>
      </c>
      <c r="L62" s="366">
        <f t="shared" si="26"/>
        <v>1054333.9448118238</v>
      </c>
      <c r="M62" s="366">
        <f t="shared" si="26"/>
        <v>1057235.8541239069</v>
      </c>
      <c r="N62" s="366">
        <f t="shared" si="26"/>
        <v>1013389.8351429305</v>
      </c>
      <c r="O62" s="366">
        <f t="shared" si="26"/>
        <v>1014772.8118422867</v>
      </c>
      <c r="P62" s="366">
        <f t="shared" si="26"/>
        <v>821441.90044094087</v>
      </c>
      <c r="Q62" s="366">
        <f t="shared" si="26"/>
        <v>792056.1609336785</v>
      </c>
      <c r="R62" s="366">
        <f t="shared" si="26"/>
        <v>758977.85184028593</v>
      </c>
      <c r="S62" s="366">
        <f t="shared" si="26"/>
        <v>718918.28789668321</v>
      </c>
      <c r="T62" s="366">
        <f t="shared" si="26"/>
        <v>687968.51669790281</v>
      </c>
      <c r="U62" s="366">
        <f t="shared" si="26"/>
        <v>654349.64843186666</v>
      </c>
      <c r="V62" s="366">
        <f t="shared" si="26"/>
        <v>642525.93199413561</v>
      </c>
      <c r="W62" s="366">
        <f t="shared" si="26"/>
        <v>647037.15596341656</v>
      </c>
      <c r="X62" s="366">
        <f t="shared" si="26"/>
        <v>635994.69011473423</v>
      </c>
      <c r="Y62" s="366">
        <f t="shared" si="26"/>
        <v>614681.37422635721</v>
      </c>
      <c r="Z62" s="366">
        <f t="shared" si="26"/>
        <v>611042.61674746079</v>
      </c>
      <c r="AA62" s="366">
        <f t="shared" si="26"/>
        <v>619167.19941335951</v>
      </c>
      <c r="AB62" s="366">
        <f t="shared" si="26"/>
        <v>619360.55236440687</v>
      </c>
      <c r="AC62" s="366">
        <f t="shared" si="26"/>
        <v>619503.01177185681</v>
      </c>
      <c r="AD62" s="366">
        <f t="shared" si="26"/>
        <v>606887.84091430844</v>
      </c>
      <c r="AE62" s="366">
        <f t="shared" si="26"/>
        <v>610335.33773433301</v>
      </c>
      <c r="AF62" s="366">
        <f t="shared" si="26"/>
        <v>593888.75351350615</v>
      </c>
      <c r="AG62" s="366">
        <f t="shared" si="26"/>
        <v>596020.87583603221</v>
      </c>
      <c r="AH62" s="366">
        <f t="shared" si="26"/>
        <v>601685.20310039294</v>
      </c>
      <c r="AI62" s="366">
        <f t="shared" si="26"/>
        <v>603796.64596535219</v>
      </c>
      <c r="AJ62" s="366">
        <f t="shared" si="26"/>
        <v>605886.76097316504</v>
      </c>
    </row>
    <row r="63" spans="1:38">
      <c r="A63" s="841"/>
      <c r="B63" s="367" t="s">
        <v>46</v>
      </c>
      <c r="C63" s="366">
        <f t="shared" ref="C63:AJ63" si="27">SUM(C56:C62)</f>
        <v>3531955.8659639158</v>
      </c>
      <c r="D63" s="366">
        <f t="shared" si="27"/>
        <v>3341507.9837878868</v>
      </c>
      <c r="E63" s="366">
        <f t="shared" si="27"/>
        <v>3241389.6037730384</v>
      </c>
      <c r="F63" s="366">
        <f t="shared" si="27"/>
        <v>3121255.6377547421</v>
      </c>
      <c r="G63" s="366">
        <f t="shared" si="27"/>
        <v>2949086.6190040149</v>
      </c>
      <c r="H63" s="366">
        <f t="shared" si="27"/>
        <v>3015554.0330237756</v>
      </c>
      <c r="I63" s="366">
        <f t="shared" si="27"/>
        <v>2971770.1826696098</v>
      </c>
      <c r="J63" s="366">
        <f t="shared" si="27"/>
        <v>2759079.8493724735</v>
      </c>
      <c r="K63" s="366">
        <f t="shared" si="27"/>
        <v>2740543.8595255911</v>
      </c>
      <c r="L63" s="366">
        <f t="shared" si="27"/>
        <v>2759834.6389217088</v>
      </c>
      <c r="M63" s="366">
        <f t="shared" si="27"/>
        <v>2769081.3818195099</v>
      </c>
      <c r="N63" s="366">
        <f t="shared" si="27"/>
        <v>2664217.6940385681</v>
      </c>
      <c r="O63" s="366">
        <f t="shared" si="27"/>
        <v>2669721.1752033671</v>
      </c>
      <c r="P63" s="366">
        <f t="shared" si="27"/>
        <v>2199211.6972576138</v>
      </c>
      <c r="Q63" s="366">
        <f t="shared" si="27"/>
        <v>2129140.7733110432</v>
      </c>
      <c r="R63" s="366">
        <f t="shared" si="27"/>
        <v>2049932.8201757404</v>
      </c>
      <c r="S63" s="366">
        <f t="shared" si="27"/>
        <v>1953508.6120760301</v>
      </c>
      <c r="T63" s="366">
        <f t="shared" si="27"/>
        <v>1879278.4781166613</v>
      </c>
      <c r="U63" s="366">
        <f t="shared" si="27"/>
        <v>1798388.5953015597</v>
      </c>
      <c r="V63" s="366">
        <f t="shared" si="27"/>
        <v>1770889.8135431935</v>
      </c>
      <c r="W63" s="366">
        <f t="shared" si="27"/>
        <v>1783483.8540725349</v>
      </c>
      <c r="X63" s="366">
        <f t="shared" si="27"/>
        <v>1757844.9803967266</v>
      </c>
      <c r="Y63" s="366">
        <f t="shared" si="27"/>
        <v>1706885.3796264119</v>
      </c>
      <c r="Z63" s="366">
        <f t="shared" si="27"/>
        <v>1699371.8785628635</v>
      </c>
      <c r="AA63" s="366">
        <f t="shared" si="27"/>
        <v>1720835.9579568198</v>
      </c>
      <c r="AB63" s="366">
        <f t="shared" si="27"/>
        <v>1722763.368098343</v>
      </c>
      <c r="AC63" s="366">
        <f t="shared" si="27"/>
        <v>1724562.2802969895</v>
      </c>
      <c r="AD63" s="366">
        <f t="shared" si="27"/>
        <v>1694835.4472850752</v>
      </c>
      <c r="AE63" s="366">
        <f t="shared" si="27"/>
        <v>1704774.764029053</v>
      </c>
      <c r="AF63" s="366">
        <f t="shared" si="27"/>
        <v>1665486.2894782769</v>
      </c>
      <c r="AG63" s="366">
        <f t="shared" si="27"/>
        <v>1672145.5296630322</v>
      </c>
      <c r="AH63" s="366">
        <f t="shared" si="27"/>
        <v>1687565.7893990772</v>
      </c>
      <c r="AI63" s="366">
        <f t="shared" si="27"/>
        <v>1694189.2693609309</v>
      </c>
      <c r="AJ63" s="366">
        <f t="shared" si="27"/>
        <v>1700763.7708547707</v>
      </c>
    </row>
    <row r="64" spans="1:38">
      <c r="A64" s="364"/>
      <c r="B64" s="365"/>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row>
    <row r="65" spans="1:36" ht="15.95" customHeight="1">
      <c r="A65" s="841" t="s">
        <v>384</v>
      </c>
      <c r="B65" s="841"/>
      <c r="C65" s="337">
        <f t="shared" ref="C65:AJ65" si="28">C115</f>
        <v>0.14627061526363322</v>
      </c>
      <c r="D65" s="337">
        <f t="shared" si="28"/>
        <v>0.13450844386929087</v>
      </c>
      <c r="E65" s="337">
        <f t="shared" si="28"/>
        <v>0.1277173538903551</v>
      </c>
      <c r="F65" s="337">
        <f t="shared" si="28"/>
        <v>0.11999377823096258</v>
      </c>
      <c r="G65" s="337">
        <f t="shared" si="28"/>
        <v>0.11002810615695252</v>
      </c>
      <c r="H65" s="337">
        <f t="shared" si="28"/>
        <v>0.11227020257157005</v>
      </c>
      <c r="I65" s="337">
        <f t="shared" si="28"/>
        <v>0.10883332178426744</v>
      </c>
      <c r="J65" s="337">
        <f t="shared" si="28"/>
        <v>9.6875474239640658E-2</v>
      </c>
      <c r="K65" s="337">
        <f t="shared" si="28"/>
        <v>9.4882499648869537E-2</v>
      </c>
      <c r="L65" s="337">
        <f t="shared" si="28"/>
        <v>9.4809290529637574E-2</v>
      </c>
      <c r="M65" s="337">
        <f t="shared" si="28"/>
        <v>9.4237837762712828E-2</v>
      </c>
      <c r="N65" s="337">
        <f t="shared" si="28"/>
        <v>8.8061143959244303E-2</v>
      </c>
      <c r="O65" s="337">
        <f t="shared" si="28"/>
        <v>8.7365130280396372E-2</v>
      </c>
      <c r="P65" s="337">
        <f t="shared" si="28"/>
        <v>6.3625347895757259E-2</v>
      </c>
      <c r="Q65" s="337">
        <f t="shared" si="28"/>
        <v>5.949245342960674E-2</v>
      </c>
      <c r="R65" s="337">
        <f t="shared" si="28"/>
        <v>5.4985876227686623E-2</v>
      </c>
      <c r="S65" s="337">
        <f t="shared" si="28"/>
        <v>4.9731933554227337E-2</v>
      </c>
      <c r="T65" s="337">
        <f t="shared" si="28"/>
        <v>4.5599039088076818E-2</v>
      </c>
      <c r="U65" s="337">
        <f t="shared" si="28"/>
        <v>4.12170227980799E-2</v>
      </c>
      <c r="V65" s="337">
        <f t="shared" si="28"/>
        <v>3.9370466445772676E-2</v>
      </c>
      <c r="W65" s="337">
        <f t="shared" si="28"/>
        <v>3.9392323772313387E-2</v>
      </c>
      <c r="X65" s="337">
        <f t="shared" si="28"/>
        <v>3.7670328331929369E-2</v>
      </c>
      <c r="Y65" s="337">
        <f t="shared" si="28"/>
        <v>3.4827284684236584E-2</v>
      </c>
      <c r="Z65" s="337">
        <f t="shared" si="28"/>
        <v>3.3977215627314934E-2</v>
      </c>
      <c r="AA65" s="337">
        <f t="shared" si="28"/>
        <v>3.4431481098854105E-2</v>
      </c>
      <c r="AB65" s="337">
        <f t="shared" si="28"/>
        <v>3.4013820186930908E-2</v>
      </c>
      <c r="AC65" s="337">
        <f t="shared" si="28"/>
        <v>3.3596159275007711E-2</v>
      </c>
      <c r="AD65" s="337">
        <f t="shared" si="28"/>
        <v>3.180832833192937E-2</v>
      </c>
      <c r="AE65" s="337">
        <f t="shared" si="28"/>
        <v>3.1764350155775757E-2</v>
      </c>
      <c r="AF65" s="337">
        <f t="shared" si="28"/>
        <v>2.9602836476927824E-2</v>
      </c>
      <c r="AG65" s="337">
        <f t="shared" si="28"/>
        <v>2.9434297388851019E-2</v>
      </c>
      <c r="AH65" s="337">
        <f t="shared" si="28"/>
        <v>2.9639441036543798E-2</v>
      </c>
      <c r="AI65" s="337">
        <f t="shared" si="28"/>
        <v>2.9470901948466993E-2</v>
      </c>
      <c r="AJ65" s="337">
        <f t="shared" si="28"/>
        <v>2.9302362860390195E-2</v>
      </c>
    </row>
    <row r="66" spans="1:36" ht="15.95" customHeight="1">
      <c r="A66" s="841" t="s">
        <v>385</v>
      </c>
      <c r="B66" s="841"/>
      <c r="C66" s="337">
        <v>5.3069999999999999E-2</v>
      </c>
      <c r="D66" s="363">
        <f t="shared" ref="D66:AJ66" si="29">$C66</f>
        <v>5.3069999999999999E-2</v>
      </c>
      <c r="E66" s="363">
        <f t="shared" si="29"/>
        <v>5.3069999999999999E-2</v>
      </c>
      <c r="F66" s="363">
        <f t="shared" si="29"/>
        <v>5.3069999999999999E-2</v>
      </c>
      <c r="G66" s="363">
        <f t="shared" si="29"/>
        <v>5.3069999999999999E-2</v>
      </c>
      <c r="H66" s="363">
        <f t="shared" si="29"/>
        <v>5.3069999999999999E-2</v>
      </c>
      <c r="I66" s="363">
        <f t="shared" si="29"/>
        <v>5.3069999999999999E-2</v>
      </c>
      <c r="J66" s="363">
        <f t="shared" si="29"/>
        <v>5.3069999999999999E-2</v>
      </c>
      <c r="K66" s="363">
        <f t="shared" si="29"/>
        <v>5.3069999999999999E-2</v>
      </c>
      <c r="L66" s="363">
        <f t="shared" si="29"/>
        <v>5.3069999999999999E-2</v>
      </c>
      <c r="M66" s="363">
        <f t="shared" si="29"/>
        <v>5.3069999999999999E-2</v>
      </c>
      <c r="N66" s="363">
        <f t="shared" si="29"/>
        <v>5.3069999999999999E-2</v>
      </c>
      <c r="O66" s="363">
        <f t="shared" si="29"/>
        <v>5.3069999999999999E-2</v>
      </c>
      <c r="P66" s="363">
        <f t="shared" si="29"/>
        <v>5.3069999999999999E-2</v>
      </c>
      <c r="Q66" s="363">
        <f t="shared" si="29"/>
        <v>5.3069999999999999E-2</v>
      </c>
      <c r="R66" s="363">
        <f t="shared" si="29"/>
        <v>5.3069999999999999E-2</v>
      </c>
      <c r="S66" s="363">
        <f t="shared" si="29"/>
        <v>5.3069999999999999E-2</v>
      </c>
      <c r="T66" s="363">
        <f t="shared" si="29"/>
        <v>5.3069999999999999E-2</v>
      </c>
      <c r="U66" s="363">
        <f t="shared" si="29"/>
        <v>5.3069999999999999E-2</v>
      </c>
      <c r="V66" s="363">
        <f t="shared" si="29"/>
        <v>5.3069999999999999E-2</v>
      </c>
      <c r="W66" s="363">
        <f t="shared" si="29"/>
        <v>5.3069999999999999E-2</v>
      </c>
      <c r="X66" s="363">
        <f t="shared" si="29"/>
        <v>5.3069999999999999E-2</v>
      </c>
      <c r="Y66" s="363">
        <f t="shared" si="29"/>
        <v>5.3069999999999999E-2</v>
      </c>
      <c r="Z66" s="363">
        <f t="shared" si="29"/>
        <v>5.3069999999999999E-2</v>
      </c>
      <c r="AA66" s="363">
        <f t="shared" si="29"/>
        <v>5.3069999999999999E-2</v>
      </c>
      <c r="AB66" s="363">
        <f t="shared" si="29"/>
        <v>5.3069999999999999E-2</v>
      </c>
      <c r="AC66" s="363">
        <f t="shared" si="29"/>
        <v>5.3069999999999999E-2</v>
      </c>
      <c r="AD66" s="363">
        <f t="shared" si="29"/>
        <v>5.3069999999999999E-2</v>
      </c>
      <c r="AE66" s="363">
        <f t="shared" si="29"/>
        <v>5.3069999999999999E-2</v>
      </c>
      <c r="AF66" s="363">
        <f t="shared" si="29"/>
        <v>5.3069999999999999E-2</v>
      </c>
      <c r="AG66" s="363">
        <f t="shared" si="29"/>
        <v>5.3069999999999999E-2</v>
      </c>
      <c r="AH66" s="363">
        <f t="shared" si="29"/>
        <v>5.3069999999999999E-2</v>
      </c>
      <c r="AI66" s="363">
        <f t="shared" si="29"/>
        <v>5.3069999999999999E-2</v>
      </c>
      <c r="AJ66" s="363">
        <f t="shared" si="29"/>
        <v>5.3069999999999999E-2</v>
      </c>
    </row>
    <row r="68" spans="1:36">
      <c r="B68" s="362"/>
    </row>
    <row r="94" spans="1:35">
      <c r="A94" s="355" t="s">
        <v>386</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55"/>
      <c r="AE94" s="355"/>
      <c r="AF94" s="355"/>
      <c r="AG94" s="355"/>
      <c r="AH94" s="355"/>
      <c r="AI94" s="355"/>
    </row>
    <row r="95" spans="1:35">
      <c r="A95" s="360" t="s">
        <v>47</v>
      </c>
      <c r="B95" s="355"/>
      <c r="C95" s="355"/>
      <c r="D95" s="355"/>
      <c r="E95" s="355"/>
      <c r="F95" s="355"/>
      <c r="G95" s="355"/>
      <c r="H95" s="355"/>
      <c r="I95" s="355"/>
      <c r="J95" s="355"/>
      <c r="K95" s="355"/>
      <c r="L95" s="355"/>
      <c r="M95" s="355"/>
      <c r="N95" s="355"/>
      <c r="O95" s="355"/>
      <c r="P95" s="355"/>
      <c r="Q95" s="355"/>
      <c r="R95" s="355"/>
      <c r="S95" s="355"/>
      <c r="T95" s="355"/>
      <c r="U95" s="355"/>
      <c r="V95" s="355"/>
      <c r="W95" s="355"/>
      <c r="X95" s="355"/>
      <c r="Y95" s="355"/>
      <c r="Z95" s="355"/>
      <c r="AA95" s="355"/>
      <c r="AB95" s="355"/>
      <c r="AC95" s="355"/>
      <c r="AD95" s="355"/>
      <c r="AE95" s="355"/>
      <c r="AF95" s="355"/>
      <c r="AG95" s="355"/>
      <c r="AH95" s="355"/>
      <c r="AI95" s="355"/>
    </row>
    <row r="96" spans="1:35">
      <c r="A96" s="359" t="s">
        <v>387</v>
      </c>
      <c r="B96" s="359">
        <v>2021</v>
      </c>
      <c r="C96" s="359">
        <v>2022</v>
      </c>
      <c r="D96" s="359">
        <v>2023</v>
      </c>
      <c r="E96" s="359">
        <v>2024</v>
      </c>
      <c r="F96" s="359">
        <v>2025</v>
      </c>
      <c r="G96" s="359">
        <v>2030</v>
      </c>
      <c r="H96" s="359">
        <v>2035</v>
      </c>
      <c r="I96" s="359">
        <v>2040</v>
      </c>
      <c r="J96" s="355"/>
      <c r="K96" s="355"/>
      <c r="L96" s="361" t="s">
        <v>388</v>
      </c>
      <c r="M96" s="355"/>
      <c r="N96" s="355"/>
      <c r="O96" s="355"/>
      <c r="P96" s="355"/>
      <c r="Q96" s="355"/>
      <c r="R96" s="355"/>
      <c r="S96" s="355"/>
      <c r="T96" s="355"/>
      <c r="U96" s="355"/>
      <c r="V96" s="355"/>
      <c r="W96" s="355"/>
      <c r="X96" s="355"/>
      <c r="Y96" s="355"/>
      <c r="Z96" s="355"/>
      <c r="AA96" s="355"/>
      <c r="AB96" s="355"/>
      <c r="AC96" s="355"/>
      <c r="AD96" s="355"/>
      <c r="AE96" s="355"/>
      <c r="AF96" s="355"/>
      <c r="AG96" s="355"/>
      <c r="AH96" s="355"/>
      <c r="AI96" s="355"/>
    </row>
    <row r="97" spans="1:36">
      <c r="A97" s="358" t="s">
        <v>389</v>
      </c>
      <c r="B97" s="358">
        <v>0.57599999999999996</v>
      </c>
      <c r="C97" s="358">
        <v>0.57899999999999996</v>
      </c>
      <c r="D97" s="358">
        <v>0.60299999999999998</v>
      </c>
      <c r="E97" s="358">
        <v>0.58399999999999996</v>
      </c>
      <c r="F97" s="358">
        <v>0.57999999999999996</v>
      </c>
      <c r="G97" s="358">
        <v>0.59799999999999998</v>
      </c>
      <c r="H97" s="358">
        <v>0.43</v>
      </c>
      <c r="I97" s="358">
        <v>0.39700000000000002</v>
      </c>
      <c r="J97" s="355"/>
      <c r="K97" s="355"/>
      <c r="L97" s="355"/>
      <c r="M97" s="355"/>
      <c r="N97" s="355"/>
      <c r="O97" s="355"/>
      <c r="P97" s="355"/>
      <c r="Q97" s="355"/>
      <c r="R97" s="355"/>
      <c r="S97" s="355"/>
      <c r="T97" s="355"/>
      <c r="U97" s="355"/>
      <c r="V97" s="355"/>
      <c r="W97" s="355"/>
      <c r="X97" s="355"/>
      <c r="Y97" s="355"/>
      <c r="Z97" s="355"/>
      <c r="AA97" s="355"/>
      <c r="AB97" s="355"/>
      <c r="AC97" s="355"/>
      <c r="AD97" s="355"/>
      <c r="AE97" s="355"/>
      <c r="AF97" s="355"/>
      <c r="AG97" s="355"/>
      <c r="AH97" s="355"/>
      <c r="AI97" s="355"/>
    </row>
    <row r="98" spans="1:36">
      <c r="A98" s="358" t="s">
        <v>390</v>
      </c>
      <c r="B98" s="358">
        <f t="shared" ref="B98:I98" si="30">B97*0.1329</f>
        <v>7.6550399999999991E-2</v>
      </c>
      <c r="C98" s="358">
        <f t="shared" si="30"/>
        <v>7.6949099999999993E-2</v>
      </c>
      <c r="D98" s="358">
        <f t="shared" si="30"/>
        <v>8.0138699999999993E-2</v>
      </c>
      <c r="E98" s="358">
        <f t="shared" si="30"/>
        <v>7.7613599999999991E-2</v>
      </c>
      <c r="F98" s="358">
        <f t="shared" si="30"/>
        <v>7.7081999999999984E-2</v>
      </c>
      <c r="G98" s="358">
        <f t="shared" si="30"/>
        <v>7.9474199999999995E-2</v>
      </c>
      <c r="H98" s="358">
        <f t="shared" si="30"/>
        <v>5.7146999999999996E-2</v>
      </c>
      <c r="I98" s="358">
        <f t="shared" si="30"/>
        <v>5.2761299999999997E-2</v>
      </c>
      <c r="J98" s="355"/>
      <c r="K98" s="355"/>
      <c r="L98" s="355"/>
      <c r="M98" s="355"/>
      <c r="N98" s="355"/>
      <c r="O98" s="355"/>
      <c r="P98" s="355"/>
      <c r="Q98" s="355"/>
      <c r="R98" s="355"/>
      <c r="S98" s="355"/>
      <c r="T98" s="355"/>
      <c r="U98" s="355"/>
      <c r="V98" s="355"/>
      <c r="W98" s="355"/>
      <c r="X98" s="355"/>
      <c r="Y98" s="355"/>
      <c r="Z98" s="355"/>
      <c r="AA98" s="355"/>
      <c r="AB98" s="355"/>
      <c r="AC98" s="355"/>
      <c r="AD98" s="355"/>
      <c r="AE98" s="355"/>
      <c r="AF98" s="355"/>
      <c r="AG98" s="355"/>
      <c r="AH98" s="355"/>
      <c r="AI98" s="355"/>
    </row>
    <row r="99" spans="1:36">
      <c r="A99" s="357" t="s">
        <v>391</v>
      </c>
      <c r="B99" s="355"/>
      <c r="C99" s="355"/>
      <c r="D99" s="355"/>
      <c r="E99" s="355"/>
      <c r="F99" s="355"/>
      <c r="G99" s="355"/>
      <c r="H99" s="355"/>
      <c r="I99" s="355"/>
      <c r="J99" s="355"/>
      <c r="K99" s="355"/>
      <c r="L99" s="355"/>
      <c r="M99" s="355"/>
      <c r="N99" s="355"/>
      <c r="O99" s="355"/>
      <c r="P99" s="355"/>
      <c r="Q99" s="355"/>
      <c r="R99" s="355"/>
      <c r="S99" s="355"/>
      <c r="T99" s="355"/>
      <c r="U99" s="355"/>
      <c r="V99" s="355"/>
      <c r="W99" s="355"/>
      <c r="X99" s="355"/>
      <c r="Y99" s="355"/>
      <c r="Z99" s="355"/>
      <c r="AA99" s="355"/>
      <c r="AB99" s="355"/>
      <c r="AC99" s="355"/>
      <c r="AD99" s="355"/>
      <c r="AE99" s="355"/>
      <c r="AF99" s="355"/>
      <c r="AG99" s="355"/>
      <c r="AH99" s="355"/>
      <c r="AI99" s="355"/>
    </row>
    <row r="100" spans="1:36">
      <c r="A100" s="356" t="s">
        <v>405</v>
      </c>
      <c r="B100" s="355"/>
      <c r="C100" s="355"/>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5"/>
      <c r="Z100" s="355"/>
      <c r="AA100" s="355"/>
      <c r="AB100" s="355"/>
      <c r="AC100" s="355"/>
      <c r="AD100" s="355"/>
      <c r="AE100" s="355"/>
      <c r="AF100" s="355"/>
      <c r="AG100" s="355"/>
      <c r="AH100" s="355"/>
      <c r="AI100" s="355"/>
    </row>
    <row r="101" spans="1:36">
      <c r="A101" s="356" t="s">
        <v>406</v>
      </c>
      <c r="B101" s="355"/>
      <c r="C101" s="355"/>
      <c r="D101" s="355"/>
      <c r="E101" s="355"/>
      <c r="F101" s="355"/>
      <c r="G101" s="355"/>
      <c r="H101" s="355"/>
      <c r="I101" s="355"/>
      <c r="J101" s="355"/>
      <c r="K101" s="355"/>
      <c r="L101" s="355"/>
      <c r="M101" s="355"/>
      <c r="N101" s="355"/>
      <c r="O101" s="355"/>
      <c r="P101" s="355"/>
      <c r="Q101" s="355"/>
      <c r="R101" s="355"/>
      <c r="S101" s="355"/>
      <c r="T101" s="355"/>
      <c r="U101" s="355"/>
      <c r="V101" s="355"/>
      <c r="W101" s="355"/>
      <c r="X101" s="355"/>
      <c r="Y101" s="355"/>
      <c r="Z101" s="355"/>
      <c r="AA101" s="355"/>
      <c r="AB101" s="355"/>
      <c r="AC101" s="355"/>
      <c r="AD101" s="355"/>
      <c r="AE101" s="355"/>
      <c r="AF101" s="355"/>
      <c r="AG101" s="355"/>
      <c r="AH101" s="355"/>
      <c r="AI101" s="355"/>
    </row>
    <row r="102" spans="1:36">
      <c r="A102" s="357"/>
      <c r="B102" s="355"/>
      <c r="C102" s="355"/>
      <c r="D102" s="355"/>
      <c r="E102" s="355"/>
      <c r="F102" s="355"/>
      <c r="G102" s="355"/>
      <c r="H102" s="355"/>
      <c r="I102" s="355"/>
      <c r="J102" s="355"/>
      <c r="K102" s="355"/>
      <c r="L102" s="355"/>
      <c r="M102" s="355"/>
      <c r="N102" s="355"/>
      <c r="O102" s="355"/>
      <c r="P102" s="355"/>
      <c r="Q102" s="355"/>
      <c r="R102" s="355"/>
      <c r="S102" s="355"/>
      <c r="T102" s="355"/>
      <c r="U102" s="355"/>
      <c r="V102" s="355"/>
      <c r="W102" s="355"/>
      <c r="X102" s="355"/>
      <c r="Y102" s="355"/>
      <c r="Z102" s="355"/>
      <c r="AA102" s="355"/>
      <c r="AB102" s="355"/>
      <c r="AC102" s="355"/>
      <c r="AD102" s="355"/>
      <c r="AE102" s="355"/>
      <c r="AF102" s="355"/>
      <c r="AG102" s="355"/>
      <c r="AH102" s="355"/>
      <c r="AI102" s="355"/>
    </row>
    <row r="103" spans="1:36">
      <c r="A103" s="360" t="s">
        <v>48</v>
      </c>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row>
    <row r="104" spans="1:36">
      <c r="A104" s="359" t="s">
        <v>392</v>
      </c>
      <c r="B104" s="359">
        <v>2018</v>
      </c>
      <c r="C104" s="359">
        <v>2019</v>
      </c>
      <c r="D104" s="359">
        <v>2020</v>
      </c>
      <c r="E104" s="359">
        <v>2021</v>
      </c>
      <c r="F104" s="359">
        <v>2022</v>
      </c>
      <c r="G104" s="359">
        <v>2023</v>
      </c>
      <c r="H104" s="359">
        <v>2024</v>
      </c>
      <c r="I104" s="359">
        <v>2025</v>
      </c>
      <c r="J104" s="359">
        <v>2026</v>
      </c>
      <c r="K104" s="359">
        <v>2027</v>
      </c>
      <c r="L104" s="359">
        <v>2028</v>
      </c>
      <c r="M104" s="359">
        <v>2029</v>
      </c>
      <c r="N104" s="359">
        <v>2030</v>
      </c>
      <c r="O104" s="359">
        <v>2031</v>
      </c>
      <c r="P104" s="359">
        <v>2032</v>
      </c>
      <c r="Q104" s="359">
        <v>2033</v>
      </c>
      <c r="R104" s="359">
        <v>2034</v>
      </c>
      <c r="S104" s="359">
        <v>2035</v>
      </c>
      <c r="T104" s="359">
        <v>2036</v>
      </c>
      <c r="U104" s="359">
        <v>2037</v>
      </c>
      <c r="V104" s="359">
        <v>2038</v>
      </c>
      <c r="W104" s="359">
        <v>2039</v>
      </c>
      <c r="X104" s="359">
        <v>2040</v>
      </c>
      <c r="Y104" s="359">
        <v>2041</v>
      </c>
      <c r="Z104" s="359">
        <v>2042</v>
      </c>
      <c r="AA104" s="359">
        <v>2043</v>
      </c>
      <c r="AB104" s="359">
        <v>2044</v>
      </c>
      <c r="AC104" s="359">
        <v>2045</v>
      </c>
      <c r="AD104" s="359">
        <v>2046</v>
      </c>
      <c r="AE104" s="359">
        <v>2047</v>
      </c>
      <c r="AF104" s="359">
        <v>2048</v>
      </c>
      <c r="AG104" s="359">
        <v>2049</v>
      </c>
      <c r="AH104" s="359">
        <v>2050</v>
      </c>
      <c r="AI104" s="355"/>
    </row>
    <row r="105" spans="1:36">
      <c r="A105" s="358" t="s">
        <v>389</v>
      </c>
      <c r="B105" s="358">
        <v>1.331</v>
      </c>
      <c r="C105" s="358">
        <v>1.3540000000000001</v>
      </c>
      <c r="D105" s="358">
        <v>1.3540000000000001</v>
      </c>
      <c r="E105" s="358">
        <v>1.248</v>
      </c>
      <c r="F105" s="358">
        <v>1.2430000000000001</v>
      </c>
      <c r="G105" s="358">
        <v>1.2669999999999999</v>
      </c>
      <c r="H105" s="358">
        <v>1.363</v>
      </c>
      <c r="I105" s="358">
        <v>1.45</v>
      </c>
      <c r="J105" s="358">
        <v>1.3839999999999999</v>
      </c>
      <c r="K105" s="358">
        <v>1.41</v>
      </c>
      <c r="L105" s="358">
        <v>1.3169999999999999</v>
      </c>
      <c r="M105" s="358">
        <v>1.256</v>
      </c>
      <c r="N105" s="358">
        <v>0.39700000000000002</v>
      </c>
      <c r="O105" s="358">
        <v>0.40400000000000003</v>
      </c>
      <c r="P105" s="358">
        <v>0.40400000000000003</v>
      </c>
      <c r="Q105" s="358">
        <v>0.32500000000000001</v>
      </c>
      <c r="R105" s="358">
        <v>0.32900000000000001</v>
      </c>
      <c r="S105" s="358">
        <v>0.16700000000000001</v>
      </c>
      <c r="T105" s="358">
        <v>0.17599999999999999</v>
      </c>
      <c r="U105" s="358">
        <v>0.218</v>
      </c>
      <c r="V105" s="358">
        <v>0.22</v>
      </c>
      <c r="W105" s="358">
        <v>0.22900000000000001</v>
      </c>
      <c r="X105" s="358">
        <v>0.185</v>
      </c>
      <c r="Y105" s="358">
        <v>0.19900000000000001</v>
      </c>
      <c r="Z105" s="358">
        <v>0.2</v>
      </c>
      <c r="AA105" s="358">
        <v>0.20100000000000001</v>
      </c>
      <c r="AB105" s="358">
        <v>0.20399999999999999</v>
      </c>
      <c r="AC105" s="358">
        <v>0.20499999999999999</v>
      </c>
      <c r="AD105" s="358">
        <v>0.20699999999999999</v>
      </c>
      <c r="AE105" s="358">
        <v>0.20799999999999999</v>
      </c>
      <c r="AF105" s="358">
        <v>0.222</v>
      </c>
      <c r="AG105" s="358">
        <v>0.24099999999999999</v>
      </c>
      <c r="AH105" s="358">
        <v>0.28100000000000003</v>
      </c>
      <c r="AI105" s="355"/>
    </row>
    <row r="106" spans="1:36">
      <c r="A106" s="358" t="s">
        <v>390</v>
      </c>
      <c r="B106" s="358">
        <f t="shared" ref="B106:AH106" si="31">B105*0.1329</f>
        <v>0.17688989999999999</v>
      </c>
      <c r="C106" s="358">
        <f t="shared" si="31"/>
        <v>0.17994660000000001</v>
      </c>
      <c r="D106" s="358">
        <f t="shared" si="31"/>
        <v>0.17994660000000001</v>
      </c>
      <c r="E106" s="358">
        <f t="shared" si="31"/>
        <v>0.16585919999999998</v>
      </c>
      <c r="F106" s="358">
        <f t="shared" si="31"/>
        <v>0.1651947</v>
      </c>
      <c r="G106" s="358">
        <f t="shared" si="31"/>
        <v>0.16838429999999999</v>
      </c>
      <c r="H106" s="358">
        <f t="shared" si="31"/>
        <v>0.18114269999999999</v>
      </c>
      <c r="I106" s="358">
        <f t="shared" si="31"/>
        <v>0.19270499999999999</v>
      </c>
      <c r="J106" s="358">
        <f t="shared" si="31"/>
        <v>0.18393359999999997</v>
      </c>
      <c r="K106" s="358">
        <f t="shared" si="31"/>
        <v>0.18738899999999997</v>
      </c>
      <c r="L106" s="358">
        <f t="shared" si="31"/>
        <v>0.17502929999999997</v>
      </c>
      <c r="M106" s="358">
        <f t="shared" si="31"/>
        <v>0.1669224</v>
      </c>
      <c r="N106" s="358">
        <f t="shared" si="31"/>
        <v>5.2761299999999997E-2</v>
      </c>
      <c r="O106" s="358">
        <f t="shared" si="31"/>
        <v>5.3691599999999999E-2</v>
      </c>
      <c r="P106" s="358">
        <f t="shared" si="31"/>
        <v>5.3691599999999999E-2</v>
      </c>
      <c r="Q106" s="358">
        <f t="shared" si="31"/>
        <v>4.3192500000000002E-2</v>
      </c>
      <c r="R106" s="358">
        <f t="shared" si="31"/>
        <v>4.3724100000000002E-2</v>
      </c>
      <c r="S106" s="358">
        <f t="shared" si="31"/>
        <v>2.21943E-2</v>
      </c>
      <c r="T106" s="358">
        <f t="shared" si="31"/>
        <v>2.3390399999999995E-2</v>
      </c>
      <c r="U106" s="358">
        <f t="shared" si="31"/>
        <v>2.8972199999999997E-2</v>
      </c>
      <c r="V106" s="358">
        <f t="shared" si="31"/>
        <v>2.9237999999999997E-2</v>
      </c>
      <c r="W106" s="358">
        <f t="shared" si="31"/>
        <v>3.0434099999999999E-2</v>
      </c>
      <c r="X106" s="358">
        <f t="shared" si="31"/>
        <v>2.4586499999999997E-2</v>
      </c>
      <c r="Y106" s="358">
        <f t="shared" si="31"/>
        <v>2.6447100000000001E-2</v>
      </c>
      <c r="Z106" s="358">
        <f t="shared" si="31"/>
        <v>2.6579999999999999E-2</v>
      </c>
      <c r="AA106" s="358">
        <f t="shared" si="31"/>
        <v>2.6712900000000001E-2</v>
      </c>
      <c r="AB106" s="358">
        <f t="shared" si="31"/>
        <v>2.7111599999999996E-2</v>
      </c>
      <c r="AC106" s="358">
        <f t="shared" si="31"/>
        <v>2.7244499999999998E-2</v>
      </c>
      <c r="AD106" s="358">
        <f t="shared" si="31"/>
        <v>2.7510299999999998E-2</v>
      </c>
      <c r="AE106" s="358">
        <f t="shared" si="31"/>
        <v>2.7643199999999996E-2</v>
      </c>
      <c r="AF106" s="358">
        <f t="shared" si="31"/>
        <v>2.9503799999999997E-2</v>
      </c>
      <c r="AG106" s="358">
        <f t="shared" si="31"/>
        <v>3.2028899999999999E-2</v>
      </c>
      <c r="AH106" s="358">
        <f t="shared" si="31"/>
        <v>3.73449E-2</v>
      </c>
      <c r="AI106" s="355"/>
    </row>
    <row r="107" spans="1:36">
      <c r="A107" s="357" t="s">
        <v>391</v>
      </c>
      <c r="B107" s="355"/>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55"/>
      <c r="AE107" s="355"/>
      <c r="AF107" s="355"/>
      <c r="AG107" s="355"/>
      <c r="AH107" s="355"/>
      <c r="AI107" s="355"/>
    </row>
    <row r="108" spans="1:36">
      <c r="A108" s="356" t="s">
        <v>407</v>
      </c>
      <c r="B108" s="355"/>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55"/>
      <c r="AE108" s="355"/>
      <c r="AF108" s="355"/>
      <c r="AG108" s="355"/>
      <c r="AH108" s="355"/>
      <c r="AI108" s="355"/>
    </row>
    <row r="109" spans="1:36">
      <c r="A109" s="356" t="s">
        <v>408</v>
      </c>
      <c r="B109" s="35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55"/>
      <c r="AE109" s="355"/>
      <c r="AF109" s="355"/>
      <c r="AG109" s="355"/>
      <c r="AH109" s="355"/>
      <c r="AI109" s="355"/>
    </row>
    <row r="110" spans="1:36">
      <c r="A110" s="354"/>
    </row>
    <row r="111" spans="1:36">
      <c r="A111" s="354"/>
    </row>
    <row r="112" spans="1:36">
      <c r="C112" s="337">
        <v>2017</v>
      </c>
      <c r="D112" s="337">
        <v>2018</v>
      </c>
      <c r="E112" s="337">
        <v>2019</v>
      </c>
      <c r="F112" s="337">
        <v>2020</v>
      </c>
      <c r="G112" s="337">
        <v>2021</v>
      </c>
      <c r="H112" s="337">
        <v>2022</v>
      </c>
      <c r="I112" s="337">
        <v>2023</v>
      </c>
      <c r="J112" s="337">
        <v>2024</v>
      </c>
      <c r="K112" s="337">
        <v>2025</v>
      </c>
      <c r="L112" s="337">
        <v>2026</v>
      </c>
      <c r="M112" s="337">
        <v>2027</v>
      </c>
      <c r="N112" s="337">
        <v>2028</v>
      </c>
      <c r="O112" s="337">
        <v>2029</v>
      </c>
      <c r="P112" s="337">
        <v>2030</v>
      </c>
      <c r="Q112" s="337">
        <v>2031</v>
      </c>
      <c r="R112" s="337">
        <v>2032</v>
      </c>
      <c r="S112" s="337">
        <v>2033</v>
      </c>
      <c r="T112" s="337">
        <v>2034</v>
      </c>
      <c r="U112" s="337">
        <v>2035</v>
      </c>
      <c r="V112" s="337">
        <v>2036</v>
      </c>
      <c r="W112" s="337">
        <v>2037</v>
      </c>
      <c r="X112" s="337">
        <v>2038</v>
      </c>
      <c r="Y112" s="337">
        <v>2039</v>
      </c>
      <c r="Z112" s="337">
        <v>2040</v>
      </c>
      <c r="AA112" s="337">
        <v>2041</v>
      </c>
      <c r="AB112" s="337">
        <v>2042</v>
      </c>
      <c r="AC112" s="337">
        <v>2043</v>
      </c>
      <c r="AD112" s="337">
        <v>2044</v>
      </c>
      <c r="AE112" s="337">
        <v>2045</v>
      </c>
      <c r="AF112" s="337">
        <v>2046</v>
      </c>
      <c r="AG112" s="337">
        <v>2047</v>
      </c>
      <c r="AH112" s="337">
        <v>2048</v>
      </c>
      <c r="AI112" s="337">
        <v>2049</v>
      </c>
      <c r="AJ112" s="337">
        <v>2050</v>
      </c>
    </row>
    <row r="113" spans="1:36">
      <c r="A113" s="337" t="s">
        <v>47</v>
      </c>
      <c r="C113" s="337">
        <v>0.11120220123177717</v>
      </c>
      <c r="D113" s="337">
        <f>C113+$D$117</f>
        <v>0.10318590092383288</v>
      </c>
      <c r="E113" s="337">
        <f>D113+$D$117</f>
        <v>9.5169600615888597E-2</v>
      </c>
      <c r="F113" s="337">
        <f>E113+$D$117</f>
        <v>8.7153300307944312E-2</v>
      </c>
      <c r="G113" s="337">
        <f t="shared" ref="G113:AJ113" si="32">G130</f>
        <v>7.9137000000000013E-2</v>
      </c>
      <c r="H113" s="337">
        <f t="shared" si="32"/>
        <v>7.9137000000000013E-2</v>
      </c>
      <c r="I113" s="337">
        <f t="shared" si="32"/>
        <v>7.0344000000000004E-2</v>
      </c>
      <c r="J113" s="337">
        <f t="shared" si="32"/>
        <v>7.0344000000000004E-2</v>
      </c>
      <c r="K113" s="337">
        <f t="shared" si="32"/>
        <v>7.0344000000000004E-2</v>
      </c>
      <c r="L113" s="337">
        <f t="shared" si="32"/>
        <v>7.1516400000000008E-2</v>
      </c>
      <c r="M113" s="337">
        <f t="shared" si="32"/>
        <v>7.2688800000000012E-2</v>
      </c>
      <c r="N113" s="337">
        <f t="shared" si="32"/>
        <v>7.3861200000000016E-2</v>
      </c>
      <c r="O113" s="337">
        <f t="shared" si="32"/>
        <v>7.503360000000002E-2</v>
      </c>
      <c r="P113" s="337">
        <f t="shared" si="32"/>
        <v>7.620600000000001E-2</v>
      </c>
      <c r="Q113" s="337">
        <f t="shared" si="32"/>
        <v>6.8585400000000005E-2</v>
      </c>
      <c r="R113" s="337">
        <f t="shared" si="32"/>
        <v>6.0964800000000006E-2</v>
      </c>
      <c r="S113" s="337">
        <f t="shared" si="32"/>
        <v>5.3344200000000008E-2</v>
      </c>
      <c r="T113" s="337">
        <f t="shared" si="32"/>
        <v>4.572360000000001E-2</v>
      </c>
      <c r="U113" s="337">
        <f t="shared" si="32"/>
        <v>3.8103000000000005E-2</v>
      </c>
      <c r="V113" s="337">
        <f t="shared" si="32"/>
        <v>3.5758200000000004E-2</v>
      </c>
      <c r="W113" s="337">
        <f t="shared" si="32"/>
        <v>3.3413400000000003E-2</v>
      </c>
      <c r="X113" s="337">
        <f t="shared" si="32"/>
        <v>3.1068600000000002E-2</v>
      </c>
      <c r="Y113" s="337">
        <f t="shared" si="32"/>
        <v>2.8723800000000001E-2</v>
      </c>
      <c r="Z113" s="337">
        <f t="shared" si="32"/>
        <v>2.6379000000000003E-2</v>
      </c>
      <c r="AA113" s="337">
        <f t="shared" si="32"/>
        <v>2.6085900000000002E-2</v>
      </c>
      <c r="AB113" s="337">
        <f t="shared" si="32"/>
        <v>2.5792800000000001E-2</v>
      </c>
      <c r="AC113" s="337">
        <f t="shared" si="32"/>
        <v>2.54997E-2</v>
      </c>
      <c r="AD113" s="337">
        <f t="shared" si="32"/>
        <v>2.5206599999999999E-2</v>
      </c>
      <c r="AE113" s="337">
        <f t="shared" si="32"/>
        <v>2.4913499999999998E-2</v>
      </c>
      <c r="AF113" s="337">
        <f t="shared" si="32"/>
        <v>2.4620399999999997E-2</v>
      </c>
      <c r="AG113" s="337">
        <f t="shared" si="32"/>
        <v>2.4327299999999996E-2</v>
      </c>
      <c r="AH113" s="337">
        <f t="shared" si="32"/>
        <v>2.4034199999999995E-2</v>
      </c>
      <c r="AI113" s="337">
        <f t="shared" si="32"/>
        <v>2.3741099999999994E-2</v>
      </c>
      <c r="AJ113" s="337">
        <f t="shared" si="32"/>
        <v>2.3448000000000004E-2</v>
      </c>
    </row>
    <row r="114" spans="1:36">
      <c r="A114" s="337" t="s">
        <v>393</v>
      </c>
      <c r="C114" s="337">
        <v>0.19372048079507054</v>
      </c>
      <c r="D114" s="337">
        <v>0.17688989999999999</v>
      </c>
      <c r="E114" s="337">
        <f t="shared" ref="E114:AJ114" si="33">E127</f>
        <v>0.17175660000000001</v>
      </c>
      <c r="F114" s="337">
        <f t="shared" si="33"/>
        <v>0.16442910000000002</v>
      </c>
      <c r="G114" s="337">
        <f t="shared" si="33"/>
        <v>0.15182580000000001</v>
      </c>
      <c r="H114" s="337">
        <f t="shared" si="33"/>
        <v>0.15710160000000004</v>
      </c>
      <c r="I114" s="337">
        <f t="shared" si="33"/>
        <v>0.16091190000000002</v>
      </c>
      <c r="J114" s="337">
        <f t="shared" si="33"/>
        <v>0.13277430000000001</v>
      </c>
      <c r="K114" s="337">
        <f t="shared" si="33"/>
        <v>0.12808470000000002</v>
      </c>
      <c r="L114" s="337">
        <f t="shared" si="33"/>
        <v>0.1263261</v>
      </c>
      <c r="M114" s="337">
        <f t="shared" si="33"/>
        <v>0.12339510000000001</v>
      </c>
      <c r="N114" s="337">
        <f t="shared" si="33"/>
        <v>0.10727460000000001</v>
      </c>
      <c r="O114" s="337">
        <f t="shared" si="33"/>
        <v>0.1040505</v>
      </c>
      <c r="P114" s="337">
        <f t="shared" si="33"/>
        <v>4.6602900000000003E-2</v>
      </c>
      <c r="Q114" s="337">
        <f t="shared" si="33"/>
        <v>4.7189100000000005E-2</v>
      </c>
      <c r="R114" s="337">
        <f t="shared" si="33"/>
        <v>4.6896000000000007E-2</v>
      </c>
      <c r="S114" s="337">
        <f t="shared" si="33"/>
        <v>4.4844300000000004E-2</v>
      </c>
      <c r="T114" s="337">
        <f t="shared" si="33"/>
        <v>4.5430500000000006E-2</v>
      </c>
      <c r="U114" s="337">
        <f t="shared" si="33"/>
        <v>4.5430500000000006E-2</v>
      </c>
      <c r="V114" s="337">
        <f t="shared" si="33"/>
        <v>4.4258100000000002E-2</v>
      </c>
      <c r="W114" s="337">
        <f t="shared" si="33"/>
        <v>4.7482200000000009E-2</v>
      </c>
      <c r="X114" s="337">
        <f t="shared" si="33"/>
        <v>4.6602900000000003E-2</v>
      </c>
      <c r="Y114" s="337">
        <f t="shared" si="33"/>
        <v>4.3085700000000005E-2</v>
      </c>
      <c r="Z114" s="337">
        <f t="shared" si="33"/>
        <v>4.4258100000000002E-2</v>
      </c>
      <c r="AA114" s="337">
        <f t="shared" si="33"/>
        <v>4.5723600000000003E-2</v>
      </c>
      <c r="AB114" s="337">
        <f t="shared" si="33"/>
        <v>4.5137400000000001E-2</v>
      </c>
      <c r="AC114" s="337">
        <f t="shared" si="33"/>
        <v>4.4551200000000006E-2</v>
      </c>
      <c r="AD114" s="337">
        <f t="shared" si="33"/>
        <v>4.074090000000001E-2</v>
      </c>
      <c r="AE114" s="337">
        <f t="shared" si="33"/>
        <v>4.1034000000000008E-2</v>
      </c>
      <c r="AF114" s="337">
        <f t="shared" si="33"/>
        <v>3.6344400000000006E-2</v>
      </c>
      <c r="AG114" s="337">
        <f t="shared" si="33"/>
        <v>3.6344400000000006E-2</v>
      </c>
      <c r="AH114" s="337">
        <f t="shared" si="33"/>
        <v>3.7223700000000005E-2</v>
      </c>
      <c r="AI114" s="337">
        <f t="shared" si="33"/>
        <v>3.7223700000000005E-2</v>
      </c>
      <c r="AJ114" s="337">
        <f t="shared" si="33"/>
        <v>3.7223700000000005E-2</v>
      </c>
    </row>
    <row r="115" spans="1:36">
      <c r="A115" s="337" t="s">
        <v>394</v>
      </c>
      <c r="C115" s="337">
        <f t="shared" ref="C115:AJ115" si="34">(C121*C113)+(C120*C114)</f>
        <v>0.14627061526363322</v>
      </c>
      <c r="D115" s="337">
        <f t="shared" si="34"/>
        <v>0.13450844386929087</v>
      </c>
      <c r="E115" s="337">
        <f t="shared" si="34"/>
        <v>0.1277173538903551</v>
      </c>
      <c r="F115" s="337">
        <f t="shared" si="34"/>
        <v>0.11999377823096258</v>
      </c>
      <c r="G115" s="337">
        <f t="shared" si="34"/>
        <v>0.11002810615695252</v>
      </c>
      <c r="H115" s="337">
        <f t="shared" si="34"/>
        <v>0.11227020257157005</v>
      </c>
      <c r="I115" s="337">
        <f t="shared" si="34"/>
        <v>0.10883332178426744</v>
      </c>
      <c r="J115" s="337">
        <f t="shared" si="34"/>
        <v>9.6875474239640658E-2</v>
      </c>
      <c r="K115" s="337">
        <f t="shared" si="34"/>
        <v>9.4882499648869537E-2</v>
      </c>
      <c r="L115" s="337">
        <f t="shared" si="34"/>
        <v>9.4809290529637574E-2</v>
      </c>
      <c r="M115" s="337">
        <f t="shared" si="34"/>
        <v>9.4237837762712828E-2</v>
      </c>
      <c r="N115" s="337">
        <f t="shared" si="34"/>
        <v>8.8061143959244303E-2</v>
      </c>
      <c r="O115" s="337">
        <f t="shared" si="34"/>
        <v>8.7365130280396372E-2</v>
      </c>
      <c r="P115" s="337">
        <f t="shared" si="34"/>
        <v>6.3625347895757259E-2</v>
      </c>
      <c r="Q115" s="337">
        <f t="shared" si="34"/>
        <v>5.949245342960674E-2</v>
      </c>
      <c r="R115" s="337">
        <f t="shared" si="34"/>
        <v>5.4985876227686623E-2</v>
      </c>
      <c r="S115" s="337">
        <f t="shared" si="34"/>
        <v>4.9731933554227337E-2</v>
      </c>
      <c r="T115" s="337">
        <f t="shared" si="34"/>
        <v>4.5599039088076818E-2</v>
      </c>
      <c r="U115" s="337">
        <f t="shared" si="34"/>
        <v>4.12170227980799E-2</v>
      </c>
      <c r="V115" s="337">
        <f t="shared" si="34"/>
        <v>3.9370466445772676E-2</v>
      </c>
      <c r="W115" s="337">
        <f t="shared" si="34"/>
        <v>3.9392323772313387E-2</v>
      </c>
      <c r="X115" s="337">
        <f t="shared" si="34"/>
        <v>3.7670328331929369E-2</v>
      </c>
      <c r="Y115" s="337">
        <f t="shared" si="34"/>
        <v>3.4827284684236584E-2</v>
      </c>
      <c r="Z115" s="337">
        <f t="shared" si="34"/>
        <v>3.3977215627314934E-2</v>
      </c>
      <c r="AA115" s="337">
        <f t="shared" si="34"/>
        <v>3.4431481098854105E-2</v>
      </c>
      <c r="AB115" s="337">
        <f t="shared" si="34"/>
        <v>3.4013820186930908E-2</v>
      </c>
      <c r="AC115" s="337">
        <f t="shared" si="34"/>
        <v>3.3596159275007711E-2</v>
      </c>
      <c r="AD115" s="337">
        <f t="shared" si="34"/>
        <v>3.180832833192937E-2</v>
      </c>
      <c r="AE115" s="337">
        <f t="shared" si="34"/>
        <v>3.1764350155775757E-2</v>
      </c>
      <c r="AF115" s="337">
        <f t="shared" si="34"/>
        <v>2.9602836476927824E-2</v>
      </c>
      <c r="AG115" s="337">
        <f t="shared" si="34"/>
        <v>2.9434297388851019E-2</v>
      </c>
      <c r="AH115" s="337">
        <f t="shared" si="34"/>
        <v>2.9639441036543798E-2</v>
      </c>
      <c r="AI115" s="337">
        <f t="shared" si="34"/>
        <v>2.9470901948466993E-2</v>
      </c>
      <c r="AJ115" s="337">
        <f t="shared" si="34"/>
        <v>2.9302362860390195E-2</v>
      </c>
    </row>
    <row r="117" spans="1:36">
      <c r="A117" s="337" t="s">
        <v>395</v>
      </c>
      <c r="D117" s="337">
        <f>(G113-C113)/4</f>
        <v>-8.0163003079442886E-3</v>
      </c>
      <c r="J117" s="337">
        <f>(P113-K113)/5</f>
        <v>1.1724000000000012E-3</v>
      </c>
      <c r="O117" s="337">
        <f>(U113-P113)/5</f>
        <v>-7.6206000000000008E-3</v>
      </c>
      <c r="T117" s="337">
        <v>-8.7713999999999848E-4</v>
      </c>
    </row>
    <row r="119" spans="1:36">
      <c r="B119" s="337" t="s">
        <v>49</v>
      </c>
      <c r="C119" s="337" t="s">
        <v>50</v>
      </c>
    </row>
    <row r="120" spans="1:36">
      <c r="A120" s="337" t="s">
        <v>48</v>
      </c>
      <c r="B120" s="337">
        <v>52406876.543330878</v>
      </c>
      <c r="C120" s="353">
        <f t="shared" ref="C120:L121" si="35">$B120/SUM($B$120:$B$121)</f>
        <v>0.42497752276764084</v>
      </c>
      <c r="D120" s="352">
        <f t="shared" si="35"/>
        <v>0.42497752276764084</v>
      </c>
      <c r="E120" s="352">
        <f t="shared" si="35"/>
        <v>0.42497752276764084</v>
      </c>
      <c r="F120" s="352">
        <f t="shared" si="35"/>
        <v>0.42497752276764084</v>
      </c>
      <c r="G120" s="352">
        <f t="shared" si="35"/>
        <v>0.42497752276764084</v>
      </c>
      <c r="H120" s="352">
        <f t="shared" si="35"/>
        <v>0.42497752276764084</v>
      </c>
      <c r="I120" s="352">
        <f t="shared" si="35"/>
        <v>0.42497752276764084</v>
      </c>
      <c r="J120" s="352">
        <f t="shared" si="35"/>
        <v>0.42497752276764084</v>
      </c>
      <c r="K120" s="352">
        <f t="shared" si="35"/>
        <v>0.42497752276764084</v>
      </c>
      <c r="L120" s="352">
        <f t="shared" si="35"/>
        <v>0.42497752276764084</v>
      </c>
      <c r="M120" s="352">
        <f t="shared" ref="M120:V121" si="36">$B120/SUM($B$120:$B$121)</f>
        <v>0.42497752276764084</v>
      </c>
      <c r="N120" s="352">
        <f t="shared" si="36"/>
        <v>0.42497752276764084</v>
      </c>
      <c r="O120" s="352">
        <f t="shared" si="36"/>
        <v>0.42497752276764084</v>
      </c>
      <c r="P120" s="352">
        <f t="shared" si="36"/>
        <v>0.42497752276764084</v>
      </c>
      <c r="Q120" s="352">
        <f t="shared" si="36"/>
        <v>0.42497752276764084</v>
      </c>
      <c r="R120" s="352">
        <f t="shared" si="36"/>
        <v>0.42497752276764084</v>
      </c>
      <c r="S120" s="352">
        <f t="shared" si="36"/>
        <v>0.42497752276764084</v>
      </c>
      <c r="T120" s="352">
        <f t="shared" si="36"/>
        <v>0.42497752276764084</v>
      </c>
      <c r="U120" s="352">
        <f t="shared" si="36"/>
        <v>0.42497752276764084</v>
      </c>
      <c r="V120" s="352">
        <f t="shared" si="36"/>
        <v>0.42497752276764084</v>
      </c>
      <c r="W120" s="352">
        <f t="shared" ref="W120:AJ121" si="37">$B120/SUM($B$120:$B$121)</f>
        <v>0.42497752276764084</v>
      </c>
      <c r="X120" s="352">
        <f t="shared" si="37"/>
        <v>0.42497752276764084</v>
      </c>
      <c r="Y120" s="352">
        <f t="shared" si="37"/>
        <v>0.42497752276764084</v>
      </c>
      <c r="Z120" s="352">
        <f t="shared" si="37"/>
        <v>0.42497752276764084</v>
      </c>
      <c r="AA120" s="352">
        <f t="shared" si="37"/>
        <v>0.42497752276764084</v>
      </c>
      <c r="AB120" s="352">
        <f t="shared" si="37"/>
        <v>0.42497752276764084</v>
      </c>
      <c r="AC120" s="352">
        <f t="shared" si="37"/>
        <v>0.42497752276764084</v>
      </c>
      <c r="AD120" s="352">
        <f t="shared" si="37"/>
        <v>0.42497752276764084</v>
      </c>
      <c r="AE120" s="352">
        <f t="shared" si="37"/>
        <v>0.42497752276764084</v>
      </c>
      <c r="AF120" s="352">
        <f t="shared" si="37"/>
        <v>0.42497752276764084</v>
      </c>
      <c r="AG120" s="352">
        <f t="shared" si="37"/>
        <v>0.42497752276764084</v>
      </c>
      <c r="AH120" s="352">
        <f t="shared" si="37"/>
        <v>0.42497752276764084</v>
      </c>
      <c r="AI120" s="352">
        <f t="shared" si="37"/>
        <v>0.42497752276764084</v>
      </c>
      <c r="AJ120" s="351">
        <f t="shared" si="37"/>
        <v>0.42497752276764084</v>
      </c>
    </row>
    <row r="121" spans="1:36">
      <c r="A121" s="337" t="s">
        <v>47</v>
      </c>
      <c r="B121" s="337">
        <v>70909943.137000009</v>
      </c>
      <c r="C121" s="350">
        <f t="shared" si="35"/>
        <v>0.57502247723235922</v>
      </c>
      <c r="D121" s="349">
        <f t="shared" si="35"/>
        <v>0.57502247723235922</v>
      </c>
      <c r="E121" s="349">
        <f t="shared" si="35"/>
        <v>0.57502247723235922</v>
      </c>
      <c r="F121" s="349">
        <f t="shared" si="35"/>
        <v>0.57502247723235922</v>
      </c>
      <c r="G121" s="349">
        <f t="shared" si="35"/>
        <v>0.57502247723235922</v>
      </c>
      <c r="H121" s="349">
        <f t="shared" si="35"/>
        <v>0.57502247723235922</v>
      </c>
      <c r="I121" s="349">
        <f t="shared" si="35"/>
        <v>0.57502247723235922</v>
      </c>
      <c r="J121" s="349">
        <f t="shared" si="35"/>
        <v>0.57502247723235922</v>
      </c>
      <c r="K121" s="349">
        <f t="shared" si="35"/>
        <v>0.57502247723235922</v>
      </c>
      <c r="L121" s="349">
        <f t="shared" si="35"/>
        <v>0.57502247723235922</v>
      </c>
      <c r="M121" s="349">
        <f t="shared" si="36"/>
        <v>0.57502247723235922</v>
      </c>
      <c r="N121" s="349">
        <f t="shared" si="36"/>
        <v>0.57502247723235922</v>
      </c>
      <c r="O121" s="349">
        <f t="shared" si="36"/>
        <v>0.57502247723235922</v>
      </c>
      <c r="P121" s="349">
        <f t="shared" si="36"/>
        <v>0.57502247723235922</v>
      </c>
      <c r="Q121" s="349">
        <f t="shared" si="36"/>
        <v>0.57502247723235922</v>
      </c>
      <c r="R121" s="349">
        <f t="shared" si="36"/>
        <v>0.57502247723235922</v>
      </c>
      <c r="S121" s="349">
        <f t="shared" si="36"/>
        <v>0.57502247723235922</v>
      </c>
      <c r="T121" s="349">
        <f t="shared" si="36"/>
        <v>0.57502247723235922</v>
      </c>
      <c r="U121" s="349">
        <f t="shared" si="36"/>
        <v>0.57502247723235922</v>
      </c>
      <c r="V121" s="349">
        <f t="shared" si="36"/>
        <v>0.57502247723235922</v>
      </c>
      <c r="W121" s="349">
        <f t="shared" si="37"/>
        <v>0.57502247723235922</v>
      </c>
      <c r="X121" s="349">
        <f t="shared" si="37"/>
        <v>0.57502247723235922</v>
      </c>
      <c r="Y121" s="349">
        <f t="shared" si="37"/>
        <v>0.57502247723235922</v>
      </c>
      <c r="Z121" s="349">
        <f t="shared" si="37"/>
        <v>0.57502247723235922</v>
      </c>
      <c r="AA121" s="349">
        <f t="shared" si="37"/>
        <v>0.57502247723235922</v>
      </c>
      <c r="AB121" s="349">
        <f t="shared" si="37"/>
        <v>0.57502247723235922</v>
      </c>
      <c r="AC121" s="349">
        <f t="shared" si="37"/>
        <v>0.57502247723235922</v>
      </c>
      <c r="AD121" s="349">
        <f t="shared" si="37"/>
        <v>0.57502247723235922</v>
      </c>
      <c r="AE121" s="349">
        <f t="shared" si="37"/>
        <v>0.57502247723235922</v>
      </c>
      <c r="AF121" s="349">
        <f t="shared" si="37"/>
        <v>0.57502247723235922</v>
      </c>
      <c r="AG121" s="349">
        <f t="shared" si="37"/>
        <v>0.57502247723235922</v>
      </c>
      <c r="AH121" s="349">
        <f t="shared" si="37"/>
        <v>0.57502247723235922</v>
      </c>
      <c r="AI121" s="349">
        <f t="shared" si="37"/>
        <v>0.57502247723235922</v>
      </c>
      <c r="AJ121" s="348">
        <f t="shared" si="37"/>
        <v>0.57502247723235922</v>
      </c>
    </row>
    <row r="122" spans="1:36">
      <c r="A122" s="337" t="s">
        <v>396</v>
      </c>
    </row>
    <row r="125" spans="1:36">
      <c r="A125" s="337" t="s">
        <v>397</v>
      </c>
      <c r="D125" s="347" t="s">
        <v>398</v>
      </c>
      <c r="E125" s="346">
        <v>2019</v>
      </c>
      <c r="F125" s="343">
        <v>2020</v>
      </c>
      <c r="G125" s="343">
        <v>2021</v>
      </c>
      <c r="H125" s="343">
        <v>2022</v>
      </c>
      <c r="I125" s="343">
        <v>2023</v>
      </c>
      <c r="J125" s="343">
        <v>2024</v>
      </c>
      <c r="K125" s="343">
        <v>2025</v>
      </c>
      <c r="L125" s="343">
        <v>2026</v>
      </c>
      <c r="M125" s="343">
        <v>2027</v>
      </c>
      <c r="N125" s="343">
        <v>2028</v>
      </c>
      <c r="O125" s="345">
        <v>2029</v>
      </c>
      <c r="P125" s="344">
        <v>2030</v>
      </c>
      <c r="Q125" s="343">
        <v>2031</v>
      </c>
      <c r="R125" s="343">
        <v>2032</v>
      </c>
      <c r="S125" s="343">
        <v>2033</v>
      </c>
      <c r="T125" s="343">
        <v>2034</v>
      </c>
      <c r="U125" s="343">
        <v>2035</v>
      </c>
      <c r="V125" s="343">
        <v>2036</v>
      </c>
      <c r="W125" s="343">
        <v>2037</v>
      </c>
      <c r="X125" s="343">
        <v>2038</v>
      </c>
      <c r="Y125" s="342">
        <v>2039</v>
      </c>
      <c r="Z125" s="342">
        <v>2040</v>
      </c>
      <c r="AA125" s="342">
        <v>2041</v>
      </c>
      <c r="AB125" s="342">
        <v>2042</v>
      </c>
      <c r="AC125" s="342">
        <v>2043</v>
      </c>
      <c r="AD125" s="342">
        <v>2044</v>
      </c>
      <c r="AE125" s="342">
        <v>2045</v>
      </c>
      <c r="AF125" s="342">
        <v>2046</v>
      </c>
      <c r="AG125" s="342">
        <v>2047</v>
      </c>
      <c r="AH125" s="342">
        <v>2048</v>
      </c>
      <c r="AI125" s="342">
        <v>2049</v>
      </c>
      <c r="AJ125" s="342">
        <v>2050</v>
      </c>
    </row>
    <row r="126" spans="1:36">
      <c r="A126" s="337" t="s">
        <v>399</v>
      </c>
      <c r="D126" s="339" t="s">
        <v>400</v>
      </c>
      <c r="E126" s="340">
        <v>0.58599999999999997</v>
      </c>
      <c r="F126" s="340">
        <v>0.56100000000000005</v>
      </c>
      <c r="G126" s="340">
        <v>0.51800000000000002</v>
      </c>
      <c r="H126" s="340">
        <v>0.53600000000000003</v>
      </c>
      <c r="I126" s="340">
        <v>0.54900000000000004</v>
      </c>
      <c r="J126" s="340">
        <v>0.45300000000000001</v>
      </c>
      <c r="K126" s="340">
        <v>0.437</v>
      </c>
      <c r="L126" s="340">
        <v>0.43099999999999999</v>
      </c>
      <c r="M126" s="340">
        <v>0.42099999999999999</v>
      </c>
      <c r="N126" s="340">
        <v>0.36599999999999999</v>
      </c>
      <c r="O126" s="340">
        <v>0.35499999999999998</v>
      </c>
      <c r="P126" s="341">
        <v>0.159</v>
      </c>
      <c r="Q126" s="340">
        <v>0.161</v>
      </c>
      <c r="R126" s="340">
        <v>0.16</v>
      </c>
      <c r="S126" s="340">
        <v>0.153</v>
      </c>
      <c r="T126" s="340">
        <v>0.155</v>
      </c>
      <c r="U126" s="340">
        <v>0.155</v>
      </c>
      <c r="V126" s="340">
        <v>0.151</v>
      </c>
      <c r="W126" s="340">
        <v>0.16200000000000001</v>
      </c>
      <c r="X126" s="340">
        <v>0.159</v>
      </c>
      <c r="Y126" s="340">
        <v>0.14699999999999999</v>
      </c>
      <c r="Z126" s="340">
        <v>0.151</v>
      </c>
      <c r="AA126" s="340">
        <v>0.156</v>
      </c>
      <c r="AB126" s="340">
        <v>0.154</v>
      </c>
      <c r="AC126" s="340">
        <v>0.152</v>
      </c>
      <c r="AD126" s="340">
        <v>0.13900000000000001</v>
      </c>
      <c r="AE126" s="340">
        <v>0.14000000000000001</v>
      </c>
      <c r="AF126" s="340">
        <v>0.124</v>
      </c>
      <c r="AG126" s="340">
        <v>0.124</v>
      </c>
      <c r="AH126" s="340">
        <v>0.127</v>
      </c>
      <c r="AI126" s="340">
        <v>0.127</v>
      </c>
      <c r="AJ126" s="340">
        <v>0.127</v>
      </c>
    </row>
    <row r="127" spans="1:36">
      <c r="D127" s="337" t="s">
        <v>401</v>
      </c>
      <c r="E127" s="337">
        <f t="shared" ref="E127:AJ127" si="38">E126*0.2931</f>
        <v>0.17175660000000001</v>
      </c>
      <c r="F127" s="337">
        <f t="shared" si="38"/>
        <v>0.16442910000000002</v>
      </c>
      <c r="G127" s="337">
        <f t="shared" si="38"/>
        <v>0.15182580000000001</v>
      </c>
      <c r="H127" s="337">
        <f t="shared" si="38"/>
        <v>0.15710160000000004</v>
      </c>
      <c r="I127" s="337">
        <f t="shared" si="38"/>
        <v>0.16091190000000002</v>
      </c>
      <c r="J127" s="337">
        <f t="shared" si="38"/>
        <v>0.13277430000000001</v>
      </c>
      <c r="K127" s="337">
        <f t="shared" si="38"/>
        <v>0.12808470000000002</v>
      </c>
      <c r="L127" s="337">
        <f t="shared" si="38"/>
        <v>0.1263261</v>
      </c>
      <c r="M127" s="337">
        <f t="shared" si="38"/>
        <v>0.12339510000000001</v>
      </c>
      <c r="N127" s="337">
        <f t="shared" si="38"/>
        <v>0.10727460000000001</v>
      </c>
      <c r="O127" s="337">
        <f t="shared" si="38"/>
        <v>0.1040505</v>
      </c>
      <c r="P127" s="337">
        <f t="shared" si="38"/>
        <v>4.6602900000000003E-2</v>
      </c>
      <c r="Q127" s="337">
        <f t="shared" si="38"/>
        <v>4.7189100000000005E-2</v>
      </c>
      <c r="R127" s="337">
        <f t="shared" si="38"/>
        <v>4.6896000000000007E-2</v>
      </c>
      <c r="S127" s="337">
        <f t="shared" si="38"/>
        <v>4.4844300000000004E-2</v>
      </c>
      <c r="T127" s="337">
        <f t="shared" si="38"/>
        <v>4.5430500000000006E-2</v>
      </c>
      <c r="U127" s="337">
        <f t="shared" si="38"/>
        <v>4.5430500000000006E-2</v>
      </c>
      <c r="V127" s="337">
        <f t="shared" si="38"/>
        <v>4.4258100000000002E-2</v>
      </c>
      <c r="W127" s="337">
        <f t="shared" si="38"/>
        <v>4.7482200000000009E-2</v>
      </c>
      <c r="X127" s="337">
        <f t="shared" si="38"/>
        <v>4.6602900000000003E-2</v>
      </c>
      <c r="Y127" s="337">
        <f t="shared" si="38"/>
        <v>4.3085700000000005E-2</v>
      </c>
      <c r="Z127" s="337">
        <f t="shared" si="38"/>
        <v>4.4258100000000002E-2</v>
      </c>
      <c r="AA127" s="337">
        <f t="shared" si="38"/>
        <v>4.5723600000000003E-2</v>
      </c>
      <c r="AB127" s="337">
        <f t="shared" si="38"/>
        <v>4.5137400000000001E-2</v>
      </c>
      <c r="AC127" s="337">
        <f t="shared" si="38"/>
        <v>4.4551200000000006E-2</v>
      </c>
      <c r="AD127" s="337">
        <f t="shared" si="38"/>
        <v>4.074090000000001E-2</v>
      </c>
      <c r="AE127" s="337">
        <f t="shared" si="38"/>
        <v>4.1034000000000008E-2</v>
      </c>
      <c r="AF127" s="337">
        <f t="shared" si="38"/>
        <v>3.6344400000000006E-2</v>
      </c>
      <c r="AG127" s="337">
        <f t="shared" si="38"/>
        <v>3.6344400000000006E-2</v>
      </c>
      <c r="AH127" s="337">
        <f t="shared" si="38"/>
        <v>3.7223700000000005E-2</v>
      </c>
      <c r="AI127" s="337">
        <f t="shared" si="38"/>
        <v>3.7223700000000005E-2</v>
      </c>
      <c r="AJ127" s="337">
        <f t="shared" si="38"/>
        <v>3.7223700000000005E-2</v>
      </c>
    </row>
    <row r="129" spans="1:36">
      <c r="A129" s="337" t="s">
        <v>402</v>
      </c>
      <c r="D129" s="339" t="s">
        <v>400</v>
      </c>
      <c r="G129" s="338">
        <v>0.27</v>
      </c>
      <c r="H129" s="338">
        <v>0.27</v>
      </c>
      <c r="I129" s="338">
        <v>0.24</v>
      </c>
      <c r="J129" s="338">
        <v>0.24</v>
      </c>
      <c r="K129" s="338">
        <v>0.24</v>
      </c>
      <c r="P129" s="338">
        <v>0.26</v>
      </c>
      <c r="U129" s="338">
        <v>0.13</v>
      </c>
      <c r="Z129" s="338">
        <v>0.09</v>
      </c>
      <c r="AJ129" s="338">
        <v>0.08</v>
      </c>
    </row>
    <row r="130" spans="1:36">
      <c r="A130" s="337" t="s">
        <v>403</v>
      </c>
      <c r="D130" s="337" t="s">
        <v>401</v>
      </c>
      <c r="G130" s="338">
        <f>G129*0.2931</f>
        <v>7.9137000000000013E-2</v>
      </c>
      <c r="H130" s="338">
        <f>H129*0.2931</f>
        <v>7.9137000000000013E-2</v>
      </c>
      <c r="I130" s="338">
        <f>I129*0.2931</f>
        <v>7.0344000000000004E-2</v>
      </c>
      <c r="J130" s="338">
        <f>J129*0.2931</f>
        <v>7.0344000000000004E-2</v>
      </c>
      <c r="K130" s="338">
        <f>K129*0.2931</f>
        <v>7.0344000000000004E-2</v>
      </c>
      <c r="L130" s="337">
        <f>K130+$P$132</f>
        <v>7.1516400000000008E-2</v>
      </c>
      <c r="M130" s="337">
        <f>L130+$P$132</f>
        <v>7.2688800000000012E-2</v>
      </c>
      <c r="N130" s="337">
        <f>M130+$P$132</f>
        <v>7.3861200000000016E-2</v>
      </c>
      <c r="O130" s="337">
        <f>N130+$P$132</f>
        <v>7.503360000000002E-2</v>
      </c>
      <c r="P130" s="338">
        <f>P129*0.2931</f>
        <v>7.620600000000001E-2</v>
      </c>
      <c r="Q130" s="337">
        <f>P130+$U$132</f>
        <v>6.8585400000000005E-2</v>
      </c>
      <c r="R130" s="337">
        <f>Q130+$U$132</f>
        <v>6.0964800000000006E-2</v>
      </c>
      <c r="S130" s="337">
        <f>R130+$U$132</f>
        <v>5.3344200000000008E-2</v>
      </c>
      <c r="T130" s="337">
        <f>S130+$U$132</f>
        <v>4.572360000000001E-2</v>
      </c>
      <c r="U130" s="338">
        <f>U129*0.2931</f>
        <v>3.8103000000000005E-2</v>
      </c>
      <c r="V130" s="337">
        <f>U130+$Z$132</f>
        <v>3.5758200000000004E-2</v>
      </c>
      <c r="W130" s="337">
        <f>V130+$Z$132</f>
        <v>3.3413400000000003E-2</v>
      </c>
      <c r="X130" s="337">
        <f>W130+$Z$132</f>
        <v>3.1068600000000002E-2</v>
      </c>
      <c r="Y130" s="337">
        <f>X130+$Z$132</f>
        <v>2.8723800000000001E-2</v>
      </c>
      <c r="Z130" s="338">
        <f>Z129*0.2931</f>
        <v>2.6379000000000003E-2</v>
      </c>
      <c r="AA130" s="337">
        <f t="shared" ref="AA130:AI130" si="39">Z130+$AJ$132</f>
        <v>2.6085900000000002E-2</v>
      </c>
      <c r="AB130" s="337">
        <f t="shared" si="39"/>
        <v>2.5792800000000001E-2</v>
      </c>
      <c r="AC130" s="337">
        <f t="shared" si="39"/>
        <v>2.54997E-2</v>
      </c>
      <c r="AD130" s="337">
        <f t="shared" si="39"/>
        <v>2.5206599999999999E-2</v>
      </c>
      <c r="AE130" s="337">
        <f t="shared" si="39"/>
        <v>2.4913499999999998E-2</v>
      </c>
      <c r="AF130" s="337">
        <f t="shared" si="39"/>
        <v>2.4620399999999997E-2</v>
      </c>
      <c r="AG130" s="337">
        <f t="shared" si="39"/>
        <v>2.4327299999999996E-2</v>
      </c>
      <c r="AH130" s="337">
        <f t="shared" si="39"/>
        <v>2.4034199999999995E-2</v>
      </c>
      <c r="AI130" s="337">
        <f t="shared" si="39"/>
        <v>2.3741099999999994E-2</v>
      </c>
      <c r="AJ130" s="338">
        <f>AJ129*0.2931</f>
        <v>2.3448000000000004E-2</v>
      </c>
    </row>
    <row r="132" spans="1:36">
      <c r="D132" s="337" t="s">
        <v>404</v>
      </c>
      <c r="P132" s="337">
        <f>(P130-K130)/5</f>
        <v>1.1724000000000012E-3</v>
      </c>
      <c r="U132" s="337">
        <f>(U130-P130)/5</f>
        <v>-7.6206000000000008E-3</v>
      </c>
      <c r="Z132" s="337">
        <f>(Z130-U130)/5</f>
        <v>-2.3448000000000002E-3</v>
      </c>
      <c r="AJ132" s="337">
        <f>(AJ130-Z130)/10</f>
        <v>-2.9309999999999997E-4</v>
      </c>
    </row>
  </sheetData>
  <mergeCells count="9">
    <mergeCell ref="A56:A63"/>
    <mergeCell ref="A65:B65"/>
    <mergeCell ref="A66:B66"/>
    <mergeCell ref="A2:A9"/>
    <mergeCell ref="A11:A18"/>
    <mergeCell ref="A20:A27"/>
    <mergeCell ref="A29:A36"/>
    <mergeCell ref="A38:A45"/>
    <mergeCell ref="A47:A5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870FA-90E4-F243-B99A-88A1C26E32BD}">
  <sheetPr>
    <tabColor theme="8"/>
  </sheetPr>
  <dimension ref="A2:AO19"/>
  <sheetViews>
    <sheetView workbookViewId="0">
      <selection activeCell="F26" sqref="F26"/>
    </sheetView>
  </sheetViews>
  <sheetFormatPr defaultColWidth="11" defaultRowHeight="15.75"/>
  <cols>
    <col min="1" max="1" width="58.375" bestFit="1" customWidth="1"/>
    <col min="2" max="3" width="11.625" bestFit="1" customWidth="1"/>
  </cols>
  <sheetData>
    <row r="2" spans="1:41">
      <c r="A2" s="5" t="s">
        <v>187</v>
      </c>
    </row>
    <row r="3" spans="1:41" s="5" customFormat="1">
      <c r="A3" s="5" t="s">
        <v>134</v>
      </c>
      <c r="B3" s="5">
        <v>2017</v>
      </c>
      <c r="C3" s="5">
        <v>2018</v>
      </c>
      <c r="D3" s="5">
        <v>2019</v>
      </c>
      <c r="E3" s="5">
        <v>2020</v>
      </c>
      <c r="F3" s="5">
        <v>2021</v>
      </c>
      <c r="G3" s="5">
        <v>2022</v>
      </c>
      <c r="H3" s="5">
        <v>2023</v>
      </c>
      <c r="I3" s="5">
        <v>2024</v>
      </c>
      <c r="J3" s="5">
        <v>2025</v>
      </c>
      <c r="K3" s="5">
        <v>2026</v>
      </c>
      <c r="L3" s="5">
        <v>2027</v>
      </c>
      <c r="M3" s="5">
        <v>2028</v>
      </c>
      <c r="N3" s="5">
        <v>2029</v>
      </c>
      <c r="O3" s="5">
        <v>2030</v>
      </c>
      <c r="P3" s="5">
        <v>2031</v>
      </c>
      <c r="Q3" s="5">
        <v>2032</v>
      </c>
      <c r="R3" s="5">
        <v>2033</v>
      </c>
      <c r="S3" s="5">
        <v>2034</v>
      </c>
      <c r="T3" s="5">
        <v>2035</v>
      </c>
      <c r="U3" s="5">
        <v>2036</v>
      </c>
      <c r="V3" s="5">
        <v>2037</v>
      </c>
      <c r="W3" s="5">
        <v>2038</v>
      </c>
      <c r="X3" s="5">
        <v>2039</v>
      </c>
      <c r="Y3" s="5">
        <v>2040</v>
      </c>
      <c r="Z3" s="5">
        <v>2041</v>
      </c>
      <c r="AA3" s="5">
        <v>2042</v>
      </c>
      <c r="AB3" s="5">
        <v>2043</v>
      </c>
      <c r="AC3" s="5">
        <v>2044</v>
      </c>
      <c r="AD3" s="5">
        <v>2045</v>
      </c>
      <c r="AE3" s="5">
        <v>2046</v>
      </c>
      <c r="AF3" s="5">
        <v>2047</v>
      </c>
      <c r="AG3" s="5">
        <v>2048</v>
      </c>
      <c r="AH3" s="5">
        <v>2049</v>
      </c>
      <c r="AI3" s="5">
        <v>2050</v>
      </c>
      <c r="AJ3" s="5" t="s">
        <v>191</v>
      </c>
      <c r="AK3" s="5" t="s">
        <v>192</v>
      </c>
      <c r="AL3" s="5" t="s">
        <v>193</v>
      </c>
      <c r="AO3" s="5" t="s">
        <v>195</v>
      </c>
    </row>
    <row r="4" spans="1:41">
      <c r="A4" t="s">
        <v>190</v>
      </c>
      <c r="B4" s="2">
        <f>'2030 Goal Calculation'!P9</f>
        <v>598700.54233387206</v>
      </c>
      <c r="C4" s="2">
        <f>$B4</f>
        <v>598700.54233387206</v>
      </c>
      <c r="D4" s="2">
        <f t="shared" ref="D4:AI4" si="0">$B4</f>
        <v>598700.54233387206</v>
      </c>
      <c r="E4" s="2">
        <f t="shared" si="0"/>
        <v>598700.54233387206</v>
      </c>
      <c r="F4" s="2">
        <f t="shared" si="0"/>
        <v>598700.54233387206</v>
      </c>
      <c r="G4" s="2">
        <f t="shared" si="0"/>
        <v>598700.54233387206</v>
      </c>
      <c r="H4" s="2">
        <f t="shared" si="0"/>
        <v>598700.54233387206</v>
      </c>
      <c r="I4" s="2">
        <f t="shared" si="0"/>
        <v>598700.54233387206</v>
      </c>
      <c r="J4" s="2">
        <f t="shared" si="0"/>
        <v>598700.54233387206</v>
      </c>
      <c r="K4" s="2">
        <f t="shared" si="0"/>
        <v>598700.54233387206</v>
      </c>
      <c r="L4" s="2">
        <f t="shared" si="0"/>
        <v>598700.54233387206</v>
      </c>
      <c r="M4" s="2">
        <f t="shared" si="0"/>
        <v>598700.54233387206</v>
      </c>
      <c r="N4" s="2">
        <f t="shared" si="0"/>
        <v>598700.54233387206</v>
      </c>
      <c r="O4" s="2">
        <f t="shared" si="0"/>
        <v>598700.54233387206</v>
      </c>
      <c r="P4" s="2">
        <f t="shared" si="0"/>
        <v>598700.54233387206</v>
      </c>
      <c r="Q4" s="2">
        <f t="shared" si="0"/>
        <v>598700.54233387206</v>
      </c>
      <c r="R4" s="2">
        <f t="shared" si="0"/>
        <v>598700.54233387206</v>
      </c>
      <c r="S4" s="2">
        <f t="shared" si="0"/>
        <v>598700.54233387206</v>
      </c>
      <c r="T4" s="2">
        <f t="shared" si="0"/>
        <v>598700.54233387206</v>
      </c>
      <c r="U4" s="2">
        <f t="shared" si="0"/>
        <v>598700.54233387206</v>
      </c>
      <c r="V4" s="2">
        <f t="shared" si="0"/>
        <v>598700.54233387206</v>
      </c>
      <c r="W4" s="2">
        <f t="shared" si="0"/>
        <v>598700.54233387206</v>
      </c>
      <c r="X4" s="2">
        <f t="shared" si="0"/>
        <v>598700.54233387206</v>
      </c>
      <c r="Y4" s="2">
        <f t="shared" si="0"/>
        <v>598700.54233387206</v>
      </c>
      <c r="Z4" s="2">
        <f t="shared" si="0"/>
        <v>598700.54233387206</v>
      </c>
      <c r="AA4" s="2">
        <f t="shared" si="0"/>
        <v>598700.54233387206</v>
      </c>
      <c r="AB4" s="2">
        <f t="shared" si="0"/>
        <v>598700.54233387206</v>
      </c>
      <c r="AC4" s="2">
        <f t="shared" si="0"/>
        <v>598700.54233387206</v>
      </c>
      <c r="AD4" s="2">
        <f t="shared" si="0"/>
        <v>598700.54233387206</v>
      </c>
      <c r="AE4" s="2">
        <f t="shared" si="0"/>
        <v>598700.54233387206</v>
      </c>
      <c r="AF4" s="2">
        <f t="shared" si="0"/>
        <v>598700.54233387206</v>
      </c>
      <c r="AG4" s="2">
        <f t="shared" si="0"/>
        <v>598700.54233387206</v>
      </c>
      <c r="AH4" s="2">
        <f t="shared" si="0"/>
        <v>598700.54233387206</v>
      </c>
      <c r="AI4" s="2">
        <f t="shared" si="0"/>
        <v>598700.54233387206</v>
      </c>
    </row>
    <row r="5" spans="1:41">
      <c r="A5" t="s">
        <v>188</v>
      </c>
      <c r="B5" s="159">
        <v>0.14627061526363322</v>
      </c>
      <c r="C5" s="160">
        <v>0.13413660558438856</v>
      </c>
      <c r="D5" s="160">
        <v>0.13045424323201746</v>
      </c>
      <c r="E5" s="160">
        <v>0.1254728520858025</v>
      </c>
      <c r="F5" s="160">
        <v>0.11450463258535068</v>
      </c>
      <c r="G5" s="160">
        <v>0.11445149648314412</v>
      </c>
      <c r="H5" s="160">
        <v>0.11764109648314411</v>
      </c>
      <c r="I5" s="160">
        <v>0.12161114045236336</v>
      </c>
      <c r="J5" s="160">
        <v>0.12621917611496292</v>
      </c>
      <c r="K5" s="160">
        <v>0.12276664202576588</v>
      </c>
      <c r="L5" s="160">
        <v>0.12451022311194423</v>
      </c>
      <c r="M5" s="160">
        <v>0.11953274217780008</v>
      </c>
      <c r="N5" s="160">
        <v>0.11636260565248215</v>
      </c>
      <c r="O5" s="160">
        <v>6.8121817932060291E-2</v>
      </c>
      <c r="P5" s="160">
        <v>6.5949446150758553E-2</v>
      </c>
      <c r="Q5" s="160">
        <v>6.3381717780026089E-2</v>
      </c>
      <c r="R5" s="160">
        <v>5.6352107900003889E-2</v>
      </c>
      <c r="S5" s="160">
        <v>5.4010297580374698E-2</v>
      </c>
      <c r="T5" s="160">
        <v>4.2292888139959482E-2</v>
      </c>
      <c r="U5" s="160">
        <v>4.2296828539262261E-2</v>
      </c>
      <c r="V5" s="160">
        <v>4.4164592860167093E-2</v>
      </c>
      <c r="W5" s="160">
        <v>4.3773176670039139E-2</v>
      </c>
      <c r="X5" s="160">
        <v>4.3777117069341925E-2</v>
      </c>
      <c r="Y5" s="160">
        <v>4.0787643291526274E-2</v>
      </c>
      <c r="Z5" s="160">
        <v>4.107398125470816E-2</v>
      </c>
      <c r="AA5" s="160">
        <v>4.0626085551804386E-2</v>
      </c>
      <c r="AB5" s="160">
        <v>4.017818984890062E-2</v>
      </c>
      <c r="AC5" s="160">
        <v>3.9843253171548486E-2</v>
      </c>
      <c r="AD5" s="160">
        <v>3.9395357468644712E-2</v>
      </c>
      <c r="AE5" s="160">
        <v>3.9003941278516759E-2</v>
      </c>
      <c r="AF5" s="160">
        <v>3.8556045575612985E-2</v>
      </c>
      <c r="AG5" s="160">
        <v>3.8842383538794871E-2</v>
      </c>
      <c r="AH5" s="160">
        <v>3.941111906585585E-2</v>
      </c>
      <c r="AI5" s="160">
        <v>4.1165924361209041E-2</v>
      </c>
      <c r="AJ5" s="119"/>
      <c r="AO5" s="3">
        <f>AI5/B5-1</f>
        <v>-0.71856326517111468</v>
      </c>
    </row>
    <row r="6" spans="1:41">
      <c r="A6" t="s">
        <v>189</v>
      </c>
      <c r="B6" s="159"/>
      <c r="C6" s="3">
        <f>C5/B5-1</f>
        <v>-8.2955894164899346E-2</v>
      </c>
      <c r="D6" s="3">
        <f>D5/C5-1</f>
        <v>-2.7452329931328401E-2</v>
      </c>
      <c r="E6" s="3">
        <f>E5/D5-1</f>
        <v>-3.8184968329128099E-2</v>
      </c>
      <c r="F6" s="3">
        <f t="shared" ref="F6:L6" si="1">F5/E5-1</f>
        <v>-8.7415080777405008E-2</v>
      </c>
      <c r="G6" s="3">
        <f t="shared" si="1"/>
        <v>-4.6405198642907042E-4</v>
      </c>
      <c r="H6" s="3">
        <f t="shared" si="1"/>
        <v>2.7868574007415825E-2</v>
      </c>
      <c r="I6" s="3">
        <f t="shared" si="1"/>
        <v>3.3747084036980901E-2</v>
      </c>
      <c r="J6" s="3">
        <f t="shared" si="1"/>
        <v>3.7891558663612601E-2</v>
      </c>
      <c r="K6" s="3">
        <f t="shared" si="1"/>
        <v>-2.7353483008417001E-2</v>
      </c>
      <c r="L6" s="3">
        <f t="shared" si="1"/>
        <v>1.4202401054615565E-2</v>
      </c>
      <c r="M6" s="3">
        <f t="shared" ref="M6" si="2">M5/L5-1</f>
        <v>-3.9976483936335239E-2</v>
      </c>
      <c r="N6" s="3">
        <f t="shared" ref="N6" si="3">N5/M5-1</f>
        <v>-2.6521072532599388E-2</v>
      </c>
      <c r="O6" s="3">
        <f t="shared" ref="O6" si="4">O5/N5-1</f>
        <v>-0.41457294162433378</v>
      </c>
      <c r="P6" s="3">
        <f t="shared" ref="P6:S6" si="5">P5/O5-1</f>
        <v>-3.1889515683041547E-2</v>
      </c>
      <c r="Q6" s="3">
        <f t="shared" si="5"/>
        <v>-3.8934798100695334E-2</v>
      </c>
      <c r="R6" s="3">
        <f t="shared" si="5"/>
        <v>-0.11090910953879962</v>
      </c>
      <c r="S6" s="3">
        <f t="shared" si="5"/>
        <v>-4.1556747509511216E-2</v>
      </c>
      <c r="T6" s="3">
        <f t="shared" ref="T6" si="6">T5/S5-1</f>
        <v>-0.21694769266875658</v>
      </c>
      <c r="U6" s="3">
        <f t="shared" ref="U6" si="7">U5/T5-1</f>
        <v>9.3169312290530826E-5</v>
      </c>
      <c r="V6" s="3">
        <f t="shared" ref="V6" si="8">V5/U5-1</f>
        <v>4.4158495693620736E-2</v>
      </c>
      <c r="W6" s="3">
        <f t="shared" ref="W6:Z6" si="9">W5/V5-1</f>
        <v>-8.8626695001411404E-3</v>
      </c>
      <c r="X6" s="3">
        <f t="shared" si="9"/>
        <v>9.0018582212803011E-5</v>
      </c>
      <c r="Y6" s="3">
        <f t="shared" si="9"/>
        <v>-6.8288502714338062E-2</v>
      </c>
      <c r="Z6" s="3">
        <f t="shared" si="9"/>
        <v>7.0202134782662018E-3</v>
      </c>
      <c r="AA6" s="3">
        <f t="shared" ref="AA6" si="10">AA5/Z5-1</f>
        <v>-1.0904608932995385E-2</v>
      </c>
      <c r="AB6" s="3">
        <f t="shared" ref="AB6" si="11">AB5/AA5-1</f>
        <v>-1.1024830397027396E-2</v>
      </c>
      <c r="AC6" s="3">
        <f t="shared" ref="AC6" si="12">AC5/AB5-1</f>
        <v>-8.3362809178746389E-3</v>
      </c>
      <c r="AD6" s="3">
        <f t="shared" ref="AD6:AG6" si="13">AD5/AC5-1</f>
        <v>-1.1241444090303587E-2</v>
      </c>
      <c r="AE6" s="3">
        <f t="shared" si="13"/>
        <v>-9.935591787420317E-3</v>
      </c>
      <c r="AF6" s="3">
        <f t="shared" si="13"/>
        <v>-1.1483344713947519E-2</v>
      </c>
      <c r="AG6" s="3">
        <f t="shared" si="13"/>
        <v>7.426538663575899E-3</v>
      </c>
      <c r="AH6" s="3">
        <f t="shared" ref="AH6" si="14">AH5/AG5-1</f>
        <v>1.4642137666267097E-2</v>
      </c>
      <c r="AI6" s="3">
        <f t="shared" ref="AI6" si="15">AI5/AH5-1</f>
        <v>4.4525639894186231E-2</v>
      </c>
    </row>
    <row r="7" spans="1:41">
      <c r="A7" t="s">
        <v>194</v>
      </c>
      <c r="B7" s="2">
        <f>B4</f>
        <v>598700.54233387206</v>
      </c>
      <c r="C7" s="2">
        <f>B4+(B4*C6)</f>
        <v>549034.80350755551</v>
      </c>
      <c r="D7" s="2">
        <f>C7+(C7*D6)</f>
        <v>533962.51893788402</v>
      </c>
      <c r="E7" s="2">
        <f t="shared" ref="E7:AI7" si="16">D7+(D7*E6)</f>
        <v>513573.17706329946</v>
      </c>
      <c r="F7" s="2">
        <f t="shared" si="16"/>
        <v>468679.13630520261</v>
      </c>
      <c r="G7" s="2">
        <f t="shared" si="16"/>
        <v>468461.64482100232</v>
      </c>
      <c r="H7" s="2">
        <f t="shared" si="16"/>
        <v>481517.00283933216</v>
      </c>
      <c r="I7" s="2">
        <f t="shared" si="16"/>
        <v>497766.79759938625</v>
      </c>
      <c r="J7" s="2">
        <f t="shared" si="16"/>
        <v>516627.95741142199</v>
      </c>
      <c r="K7" s="2">
        <f t="shared" si="16"/>
        <v>502496.38335669547</v>
      </c>
      <c r="L7" s="2">
        <f t="shared" si="16"/>
        <v>509633.03852162109</v>
      </c>
      <c r="M7" s="2">
        <f t="shared" si="16"/>
        <v>489259.70154373581</v>
      </c>
      <c r="N7" s="2">
        <f t="shared" si="16"/>
        <v>476284.00951181643</v>
      </c>
      <c r="O7" s="2">
        <f t="shared" si="16"/>
        <v>278829.5466398705</v>
      </c>
      <c r="P7" s="2">
        <f t="shared" si="16"/>
        <v>269937.80743940297</v>
      </c>
      <c r="Q7" s="2">
        <f t="shared" si="16"/>
        <v>259427.83340700544</v>
      </c>
      <c r="R7" s="2">
        <f t="shared" si="16"/>
        <v>230654.92341425442</v>
      </c>
      <c r="S7" s="2">
        <f t="shared" si="16"/>
        <v>221069.65500010259</v>
      </c>
      <c r="T7" s="2">
        <f t="shared" si="16"/>
        <v>173109.10342875228</v>
      </c>
      <c r="U7" s="2">
        <f t="shared" si="16"/>
        <v>173125.23188486998</v>
      </c>
      <c r="V7" s="2">
        <f t="shared" si="16"/>
        <v>180770.18169151511</v>
      </c>
      <c r="W7" s="2">
        <f t="shared" si="16"/>
        <v>179168.07531570276</v>
      </c>
      <c r="X7" s="2">
        <f t="shared" si="16"/>
        <v>179184.20377182047</v>
      </c>
      <c r="Y7" s="2">
        <f t="shared" si="16"/>
        <v>166947.98278618199</v>
      </c>
      <c r="Z7" s="2">
        <f t="shared" si="16"/>
        <v>168119.9932651069</v>
      </c>
      <c r="AA7" s="2">
        <f t="shared" si="16"/>
        <v>166286.71048473308</v>
      </c>
      <c r="AB7" s="2">
        <f t="shared" si="16"/>
        <v>164453.42770435929</v>
      </c>
      <c r="AC7" s="2">
        <f t="shared" si="16"/>
        <v>163082.49773310835</v>
      </c>
      <c r="AD7" s="2">
        <f t="shared" si="16"/>
        <v>161249.21495273456</v>
      </c>
      <c r="AE7" s="2">
        <f t="shared" si="16"/>
        <v>159647.10857692221</v>
      </c>
      <c r="AF7" s="2">
        <f t="shared" si="16"/>
        <v>157813.82579654839</v>
      </c>
      <c r="AG7" s="2">
        <f t="shared" si="16"/>
        <v>158985.8362754733</v>
      </c>
      <c r="AH7" s="2">
        <f t="shared" si="16"/>
        <v>161313.72877720537</v>
      </c>
      <c r="AI7" s="2">
        <f t="shared" si="16"/>
        <v>168496.32577472765</v>
      </c>
      <c r="AJ7" s="2">
        <f>B7-O7</f>
        <v>319870.99569400155</v>
      </c>
      <c r="AK7" s="2">
        <f>O7-AI7</f>
        <v>110333.22086514285</v>
      </c>
      <c r="AL7" s="2">
        <f>B7-AI7</f>
        <v>430204.21655914444</v>
      </c>
      <c r="AM7" s="2"/>
      <c r="AN7" s="2"/>
    </row>
    <row r="8" spans="1:41" s="5" customFormat="1">
      <c r="A8" s="5" t="s">
        <v>135</v>
      </c>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row>
    <row r="9" spans="1:41">
      <c r="A9" t="s">
        <v>190</v>
      </c>
      <c r="B9" s="2">
        <v>598700.54233387206</v>
      </c>
      <c r="C9" s="2">
        <v>598700.54233387206</v>
      </c>
      <c r="D9" s="2">
        <v>598700.54233387206</v>
      </c>
      <c r="E9" s="2">
        <v>598700.54233387206</v>
      </c>
      <c r="F9" s="2">
        <v>598700.54233387206</v>
      </c>
      <c r="G9" s="2">
        <v>598700.54233387206</v>
      </c>
      <c r="H9" s="2">
        <v>598700.54233387206</v>
      </c>
      <c r="I9" s="2">
        <v>598700.54233387206</v>
      </c>
      <c r="J9" s="2">
        <v>598700.54233387206</v>
      </c>
      <c r="K9" s="2">
        <v>598700.54233387206</v>
      </c>
      <c r="L9" s="2">
        <v>598700.54233387206</v>
      </c>
      <c r="M9" s="2">
        <v>598700.54233387206</v>
      </c>
      <c r="N9" s="2">
        <v>598700.54233387206</v>
      </c>
      <c r="O9" s="2">
        <v>598700.54233387206</v>
      </c>
      <c r="P9" s="2">
        <v>598700.54233387206</v>
      </c>
      <c r="Q9" s="2">
        <v>598700.54233387206</v>
      </c>
      <c r="R9" s="2">
        <v>598700.54233387206</v>
      </c>
      <c r="S9" s="2">
        <v>598700.54233387206</v>
      </c>
      <c r="T9" s="2">
        <v>598700.54233387206</v>
      </c>
      <c r="U9" s="2">
        <v>598700.54233387206</v>
      </c>
      <c r="V9" s="2">
        <v>598700.54233387206</v>
      </c>
      <c r="W9" s="2">
        <v>598700.54233387206</v>
      </c>
      <c r="X9" s="2">
        <v>598700.54233387206</v>
      </c>
      <c r="Y9" s="2">
        <v>598700.54233387206</v>
      </c>
      <c r="Z9" s="2">
        <v>598700.54233387206</v>
      </c>
      <c r="AA9" s="2">
        <v>598700.54233387206</v>
      </c>
      <c r="AB9" s="2">
        <v>598700.54233387206</v>
      </c>
      <c r="AC9" s="2">
        <v>598700.54233387206</v>
      </c>
      <c r="AD9" s="2">
        <v>598700.54233387206</v>
      </c>
      <c r="AE9" s="2">
        <v>598700.54233387206</v>
      </c>
      <c r="AF9" s="2">
        <v>598700.54233387206</v>
      </c>
      <c r="AG9" s="2">
        <v>598700.54233387206</v>
      </c>
      <c r="AH9" s="2">
        <v>598700.54233387206</v>
      </c>
      <c r="AI9" s="2">
        <v>598700.54233387206</v>
      </c>
    </row>
    <row r="10" spans="1:41">
      <c r="A10" t="s">
        <v>188</v>
      </c>
      <c r="B10" s="159">
        <v>0.14627061526363322</v>
      </c>
      <c r="C10" s="159">
        <v>0.13413660558438856</v>
      </c>
      <c r="D10" s="159">
        <v>0.13045424323201746</v>
      </c>
      <c r="E10" s="159">
        <v>0.11763079883043984</v>
      </c>
      <c r="F10" s="159">
        <v>0.10019155351218184</v>
      </c>
      <c r="G10" s="159">
        <v>9.2991840892554606E-2</v>
      </c>
      <c r="H10" s="159">
        <v>8.8230822362358075E-2</v>
      </c>
      <c r="I10" s="159">
        <v>8.3607659060999817E-2</v>
      </c>
      <c r="J10" s="159">
        <v>7.8886985071851823E-2</v>
      </c>
      <c r="K10" s="159">
        <v>6.9056236139493313E-2</v>
      </c>
      <c r="L10" s="159">
        <v>6.2255111555972117E-2</v>
      </c>
      <c r="M10" s="159">
        <v>5.2295574702787534E-2</v>
      </c>
      <c r="N10" s="159">
        <v>4.3635977119680806E-2</v>
      </c>
      <c r="O10" s="159">
        <v>2.1288068103768841E-2</v>
      </c>
      <c r="P10" s="159">
        <v>1.6487361537689638E-2</v>
      </c>
      <c r="Q10" s="159">
        <v>1.1884072083754891E-2</v>
      </c>
      <c r="R10" s="159">
        <v>7.0440134875004862E-3</v>
      </c>
      <c r="S10" s="159">
        <v>3.3756435987734187E-3</v>
      </c>
      <c r="T10" s="159">
        <v>0</v>
      </c>
      <c r="U10" s="159">
        <v>0</v>
      </c>
      <c r="V10" s="159">
        <v>0</v>
      </c>
      <c r="W10" s="159">
        <v>0</v>
      </c>
      <c r="X10" s="159">
        <v>0</v>
      </c>
      <c r="Y10" s="159">
        <v>0</v>
      </c>
      <c r="Z10" s="159">
        <v>0</v>
      </c>
      <c r="AA10" s="159">
        <v>0</v>
      </c>
      <c r="AB10" s="159">
        <v>0</v>
      </c>
      <c r="AC10" s="159">
        <v>0</v>
      </c>
      <c r="AD10" s="159">
        <v>0</v>
      </c>
      <c r="AE10" s="159">
        <v>0</v>
      </c>
      <c r="AF10" s="159">
        <v>0</v>
      </c>
      <c r="AG10" s="159">
        <v>0</v>
      </c>
      <c r="AH10" s="159">
        <v>0</v>
      </c>
      <c r="AI10" s="159">
        <v>0</v>
      </c>
      <c r="AO10" s="3">
        <f>AI10/B10-1</f>
        <v>-1</v>
      </c>
    </row>
    <row r="11" spans="1:41">
      <c r="A11" t="s">
        <v>189</v>
      </c>
      <c r="B11" s="159"/>
      <c r="C11" s="3">
        <f>C10/B10-1</f>
        <v>-8.2955894164899346E-2</v>
      </c>
      <c r="D11" s="3">
        <f>D10/C10-1</f>
        <v>-2.7452329931328401E-2</v>
      </c>
      <c r="E11" s="3">
        <f>E10/D10-1</f>
        <v>-9.8298407808557586E-2</v>
      </c>
      <c r="F11" s="3">
        <f t="shared" ref="F11" si="17">F10/E10-1</f>
        <v>-0.14825407539224467</v>
      </c>
      <c r="G11" s="3">
        <f t="shared" ref="G11" si="18">G10/F10-1</f>
        <v>-7.1859476844541192E-2</v>
      </c>
      <c r="H11" s="3">
        <f t="shared" ref="H11" si="19">H10/G10-1</f>
        <v>-5.1198239377770238E-2</v>
      </c>
      <c r="I11" s="3">
        <f t="shared" ref="I11" si="20">I10/H10-1</f>
        <v>-5.2398506299433989E-2</v>
      </c>
      <c r="J11" s="3">
        <f t="shared" ref="J11" si="21">J10/I10-1</f>
        <v>-5.6462219396715918E-2</v>
      </c>
      <c r="K11" s="3">
        <f t="shared" ref="K11" si="22">K10/J10-1</f>
        <v>-0.12461813470757532</v>
      </c>
      <c r="L11" s="3">
        <f t="shared" ref="L11" si="23">L10/K10-1</f>
        <v>-9.848675461811951E-2</v>
      </c>
      <c r="M11" s="3">
        <f t="shared" ref="M11" si="24">M10/L10-1</f>
        <v>-0.15997942344429339</v>
      </c>
      <c r="N11" s="3">
        <f t="shared" ref="N11" si="25">N10/M10-1</f>
        <v>-0.16558949074222795</v>
      </c>
      <c r="O11" s="3">
        <f t="shared" ref="O11" si="26">O10/N10-1</f>
        <v>-0.51214411802027815</v>
      </c>
      <c r="P11" s="3">
        <f t="shared" ref="P11" si="27">P10/O10-1</f>
        <v>-0.22551161254643326</v>
      </c>
      <c r="Q11" s="3">
        <f t="shared" ref="Q11" si="28">Q10/P10-1</f>
        <v>-0.27920109857552156</v>
      </c>
      <c r="R11" s="3">
        <f t="shared" ref="R11" si="29">R10/Q10-1</f>
        <v>-0.40727273969253308</v>
      </c>
      <c r="S11" s="3">
        <f t="shared" ref="S11" si="30">S10/R10-1</f>
        <v>-0.52077837375475555</v>
      </c>
      <c r="T11" s="3">
        <f t="shared" ref="T11" si="31">T10/S10-1</f>
        <v>-1</v>
      </c>
      <c r="U11" s="3">
        <f>T11</f>
        <v>-1</v>
      </c>
      <c r="V11" s="3">
        <f t="shared" ref="V11:AI11" si="32">U11</f>
        <v>-1</v>
      </c>
      <c r="W11" s="3">
        <f t="shared" si="32"/>
        <v>-1</v>
      </c>
      <c r="X11" s="3">
        <f t="shared" si="32"/>
        <v>-1</v>
      </c>
      <c r="Y11" s="3">
        <f t="shared" si="32"/>
        <v>-1</v>
      </c>
      <c r="Z11" s="3">
        <f t="shared" si="32"/>
        <v>-1</v>
      </c>
      <c r="AA11" s="3">
        <f t="shared" si="32"/>
        <v>-1</v>
      </c>
      <c r="AB11" s="3">
        <f t="shared" si="32"/>
        <v>-1</v>
      </c>
      <c r="AC11" s="3">
        <f t="shared" si="32"/>
        <v>-1</v>
      </c>
      <c r="AD11" s="3">
        <f t="shared" si="32"/>
        <v>-1</v>
      </c>
      <c r="AE11" s="3">
        <f t="shared" si="32"/>
        <v>-1</v>
      </c>
      <c r="AF11" s="3">
        <f t="shared" si="32"/>
        <v>-1</v>
      </c>
      <c r="AG11" s="3">
        <f t="shared" si="32"/>
        <v>-1</v>
      </c>
      <c r="AH11" s="3">
        <f t="shared" si="32"/>
        <v>-1</v>
      </c>
      <c r="AI11" s="3">
        <f t="shared" si="32"/>
        <v>-1</v>
      </c>
    </row>
    <row r="12" spans="1:41">
      <c r="A12" t="s">
        <v>194</v>
      </c>
      <c r="B12" s="2">
        <f>B9</f>
        <v>598700.54233387206</v>
      </c>
      <c r="C12" s="2">
        <f>B9+(B9*C11)</f>
        <v>549034.80350755551</v>
      </c>
      <c r="D12" s="2">
        <f>C12+(C12*D11)</f>
        <v>533962.51893788402</v>
      </c>
      <c r="E12" s="2">
        <f t="shared" ref="E12" si="33">D12+(D12*E11)</f>
        <v>481474.85349684325</v>
      </c>
      <c r="F12" s="2">
        <f t="shared" ref="F12" si="34">E12+(E12*F11)</f>
        <v>410094.24426705227</v>
      </c>
      <c r="G12" s="2">
        <f t="shared" ref="G12" si="35">F12+(F12*G11)</f>
        <v>380625.08641706442</v>
      </c>
      <c r="H12" s="2">
        <f t="shared" ref="H12" si="36">G12+(G12*H11)</f>
        <v>361137.7521294991</v>
      </c>
      <c r="I12" s="2">
        <f t="shared" ref="I12" si="37">H12+(H12*I11)</f>
        <v>342214.67334957811</v>
      </c>
      <c r="J12" s="2">
        <f t="shared" ref="J12" si="38">I12+(I12*J11)</f>
        <v>322892.47338213876</v>
      </c>
      <c r="K12" s="2">
        <f t="shared" ref="K12" si="39">J12+(J12*K11)</f>
        <v>282654.21563814121</v>
      </c>
      <c r="L12" s="2">
        <f t="shared" ref="L12" si="40">K12+(K12*L11)</f>
        <v>254816.51926081054</v>
      </c>
      <c r="M12" s="2">
        <f t="shared" ref="M12" si="41">L12+(L12*M11)</f>
        <v>214051.11942538439</v>
      </c>
      <c r="N12" s="2">
        <f t="shared" ref="N12" si="42">M12+(M12*N11)</f>
        <v>178606.50356693118</v>
      </c>
      <c r="O12" s="2">
        <f t="shared" ref="O12" si="43">N12+(N12*O11)</f>
        <v>87134.233324959539</v>
      </c>
      <c r="P12" s="2">
        <f t="shared" ref="P12" si="44">O12+(O12*P11)</f>
        <v>67484.451859850757</v>
      </c>
      <c r="Q12" s="2">
        <f t="shared" ref="Q12" si="45">P12+(P12*Q11)</f>
        <v>48642.718763813522</v>
      </c>
      <c r="R12" s="2">
        <f t="shared" ref="R12" si="46">Q12+(Q12*R11)</f>
        <v>28831.865426781802</v>
      </c>
      <c r="S12" s="2">
        <f t="shared" ref="S12" si="47">R12+(R12*S11)</f>
        <v>13816.853437506414</v>
      </c>
      <c r="T12" s="2">
        <f t="shared" ref="T12" si="48">S12+(S12*T11)</f>
        <v>0</v>
      </c>
      <c r="U12" s="2">
        <f t="shared" ref="U12" si="49">T12+(T12*U11)</f>
        <v>0</v>
      </c>
      <c r="V12" s="2">
        <f t="shared" ref="V12" si="50">U12+(U12*V11)</f>
        <v>0</v>
      </c>
      <c r="W12" s="2">
        <f t="shared" ref="W12" si="51">V12+(V12*W11)</f>
        <v>0</v>
      </c>
      <c r="X12" s="2">
        <f t="shared" ref="X12" si="52">W12+(W12*X11)</f>
        <v>0</v>
      </c>
      <c r="Y12" s="2">
        <f t="shared" ref="Y12" si="53">X12+(X12*Y11)</f>
        <v>0</v>
      </c>
      <c r="Z12" s="2">
        <f t="shared" ref="Z12" si="54">Y12+(Y12*Z11)</f>
        <v>0</v>
      </c>
      <c r="AA12" s="2">
        <f t="shared" ref="AA12" si="55">Z12+(Z12*AA11)</f>
        <v>0</v>
      </c>
      <c r="AB12" s="2">
        <f t="shared" ref="AB12" si="56">AA12+(AA12*AB11)</f>
        <v>0</v>
      </c>
      <c r="AC12" s="2">
        <f t="shared" ref="AC12" si="57">AB12+(AB12*AC11)</f>
        <v>0</v>
      </c>
      <c r="AD12" s="2">
        <f t="shared" ref="AD12" si="58">AC12+(AC12*AD11)</f>
        <v>0</v>
      </c>
      <c r="AE12" s="2">
        <f t="shared" ref="AE12" si="59">AD12+(AD12*AE11)</f>
        <v>0</v>
      </c>
      <c r="AF12" s="2">
        <f t="shared" ref="AF12" si="60">AE12+(AE12*AF11)</f>
        <v>0</v>
      </c>
      <c r="AG12" s="2">
        <f t="shared" ref="AG12" si="61">AF12+(AF12*AG11)</f>
        <v>0</v>
      </c>
      <c r="AH12" s="2">
        <f t="shared" ref="AH12" si="62">AG12+(AG12*AH11)</f>
        <v>0</v>
      </c>
      <c r="AI12" s="2">
        <f t="shared" ref="AI12" si="63">AH12+(AH12*AI11)</f>
        <v>0</v>
      </c>
      <c r="AJ12" s="2">
        <f>B12-O12</f>
        <v>511566.30900891253</v>
      </c>
      <c r="AK12" s="2">
        <f>O12-AI12</f>
        <v>87134.233324959539</v>
      </c>
      <c r="AL12" s="2">
        <f>B12-AI12</f>
        <v>598700.54233387206</v>
      </c>
      <c r="AM12" s="2"/>
      <c r="AN12" s="2"/>
    </row>
    <row r="13" spans="1:41" s="5" customFormat="1">
      <c r="A13" s="5" t="s">
        <v>136</v>
      </c>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row>
    <row r="14" spans="1:41">
      <c r="A14" t="s">
        <v>190</v>
      </c>
      <c r="B14" s="2">
        <f>'2030 Goal Calculation'!P21</f>
        <v>402717.87848663999</v>
      </c>
      <c r="C14" s="2">
        <f>B14</f>
        <v>402717.87848663999</v>
      </c>
      <c r="D14" s="2">
        <f t="shared" ref="D14:AI14" si="64">C14</f>
        <v>402717.87848663999</v>
      </c>
      <c r="E14" s="2">
        <f t="shared" si="64"/>
        <v>402717.87848663999</v>
      </c>
      <c r="F14" s="2">
        <f t="shared" si="64"/>
        <v>402717.87848663999</v>
      </c>
      <c r="G14" s="2">
        <f t="shared" si="64"/>
        <v>402717.87848663999</v>
      </c>
      <c r="H14" s="2">
        <f t="shared" si="64"/>
        <v>402717.87848663999</v>
      </c>
      <c r="I14" s="2">
        <f t="shared" si="64"/>
        <v>402717.87848663999</v>
      </c>
      <c r="J14" s="2">
        <f t="shared" si="64"/>
        <v>402717.87848663999</v>
      </c>
      <c r="K14" s="2">
        <f t="shared" si="64"/>
        <v>402717.87848663999</v>
      </c>
      <c r="L14" s="2">
        <f t="shared" si="64"/>
        <v>402717.87848663999</v>
      </c>
      <c r="M14" s="2">
        <f t="shared" si="64"/>
        <v>402717.87848663999</v>
      </c>
      <c r="N14" s="2">
        <f t="shared" si="64"/>
        <v>402717.87848663999</v>
      </c>
      <c r="O14" s="2">
        <f t="shared" si="64"/>
        <v>402717.87848663999</v>
      </c>
      <c r="P14" s="2">
        <f t="shared" si="64"/>
        <v>402717.87848663999</v>
      </c>
      <c r="Q14" s="2">
        <f t="shared" si="64"/>
        <v>402717.87848663999</v>
      </c>
      <c r="R14" s="2">
        <f t="shared" si="64"/>
        <v>402717.87848663999</v>
      </c>
      <c r="S14" s="2">
        <f t="shared" si="64"/>
        <v>402717.87848663999</v>
      </c>
      <c r="T14" s="2">
        <f t="shared" si="64"/>
        <v>402717.87848663999</v>
      </c>
      <c r="U14" s="2">
        <f t="shared" si="64"/>
        <v>402717.87848663999</v>
      </c>
      <c r="V14" s="2">
        <f t="shared" si="64"/>
        <v>402717.87848663999</v>
      </c>
      <c r="W14" s="2">
        <f t="shared" si="64"/>
        <v>402717.87848663999</v>
      </c>
      <c r="X14" s="2">
        <f t="shared" si="64"/>
        <v>402717.87848663999</v>
      </c>
      <c r="Y14" s="2">
        <f t="shared" si="64"/>
        <v>402717.87848663999</v>
      </c>
      <c r="Z14" s="2">
        <f t="shared" si="64"/>
        <v>402717.87848663999</v>
      </c>
      <c r="AA14" s="2">
        <f t="shared" si="64"/>
        <v>402717.87848663999</v>
      </c>
      <c r="AB14" s="2">
        <f t="shared" si="64"/>
        <v>402717.87848663999</v>
      </c>
      <c r="AC14" s="2">
        <f t="shared" si="64"/>
        <v>402717.87848663999</v>
      </c>
      <c r="AD14" s="2">
        <f t="shared" si="64"/>
        <v>402717.87848663999</v>
      </c>
      <c r="AE14" s="2">
        <f t="shared" si="64"/>
        <v>402717.87848663999</v>
      </c>
      <c r="AF14" s="2">
        <f t="shared" si="64"/>
        <v>402717.87848663999</v>
      </c>
      <c r="AG14" s="2">
        <f t="shared" si="64"/>
        <v>402717.87848663999</v>
      </c>
      <c r="AH14" s="2">
        <f t="shared" si="64"/>
        <v>402717.87848663999</v>
      </c>
      <c r="AI14" s="2">
        <f t="shared" si="64"/>
        <v>402717.87848663999</v>
      </c>
    </row>
    <row r="15" spans="1:41">
      <c r="A15" t="s">
        <v>188</v>
      </c>
      <c r="B15" s="159">
        <v>5.3069999999999999E-2</v>
      </c>
      <c r="C15" s="159">
        <v>5.3069999999999999E-2</v>
      </c>
      <c r="D15" s="159">
        <v>5.3069999999999999E-2</v>
      </c>
      <c r="E15" s="159">
        <v>5.0416499999999996E-2</v>
      </c>
      <c r="F15" s="159">
        <v>5.0416499999999996E-2</v>
      </c>
      <c r="G15" s="159">
        <v>5.0416499999999996E-2</v>
      </c>
      <c r="H15" s="159">
        <v>5.0416499999999996E-2</v>
      </c>
      <c r="I15" s="159">
        <v>5.0416499999999996E-2</v>
      </c>
      <c r="J15" s="159">
        <v>4.7763E-2</v>
      </c>
      <c r="K15" s="159">
        <v>4.7763E-2</v>
      </c>
      <c r="L15" s="159">
        <v>4.7763E-2</v>
      </c>
      <c r="M15" s="159">
        <v>4.7763E-2</v>
      </c>
      <c r="N15" s="159">
        <v>4.7763E-2</v>
      </c>
      <c r="O15" s="159">
        <v>4.5109499999999997E-2</v>
      </c>
      <c r="P15" s="159">
        <v>4.5109499999999997E-2</v>
      </c>
      <c r="Q15" s="159">
        <v>4.5109499999999997E-2</v>
      </c>
      <c r="R15" s="159">
        <v>4.5109499999999997E-2</v>
      </c>
      <c r="S15" s="159">
        <v>4.5109499999999997E-2</v>
      </c>
      <c r="T15" s="159">
        <v>4.2456000000000001E-2</v>
      </c>
      <c r="U15" s="159">
        <v>4.2456000000000001E-2</v>
      </c>
      <c r="V15" s="159">
        <v>4.2456000000000001E-2</v>
      </c>
      <c r="W15" s="159">
        <v>4.2456000000000001E-2</v>
      </c>
      <c r="X15" s="159">
        <v>4.2456000000000001E-2</v>
      </c>
      <c r="Y15" s="159">
        <v>3.9802499999999998E-2</v>
      </c>
      <c r="Z15" s="159">
        <v>3.9802499999999998E-2</v>
      </c>
      <c r="AA15" s="159">
        <v>3.9802499999999998E-2</v>
      </c>
      <c r="AB15" s="159">
        <v>3.9802499999999998E-2</v>
      </c>
      <c r="AC15" s="159">
        <v>3.9802499999999998E-2</v>
      </c>
      <c r="AD15" s="159">
        <v>3.7148999999999995E-2</v>
      </c>
      <c r="AE15" s="159">
        <v>3.7148999999999995E-2</v>
      </c>
      <c r="AF15" s="159">
        <v>3.7148999999999995E-2</v>
      </c>
      <c r="AG15" s="159">
        <v>3.7148999999999995E-2</v>
      </c>
      <c r="AH15" s="159">
        <v>3.7148999999999995E-2</v>
      </c>
      <c r="AI15" s="159">
        <v>3.7148999999999995E-2</v>
      </c>
      <c r="AO15" s="3">
        <f>AI15/B15-1</f>
        <v>-0.30000000000000004</v>
      </c>
    </row>
    <row r="16" spans="1:41">
      <c r="A16" t="s">
        <v>189</v>
      </c>
      <c r="B16" s="159"/>
      <c r="C16" s="3">
        <f>C15/B15-1</f>
        <v>0</v>
      </c>
      <c r="D16" s="3">
        <f>D15/C15-1</f>
        <v>0</v>
      </c>
      <c r="E16" s="3">
        <f>E15/D15-1</f>
        <v>-5.0000000000000044E-2</v>
      </c>
      <c r="F16" s="3">
        <f>F15/E15-1</f>
        <v>0</v>
      </c>
      <c r="G16" s="3">
        <f t="shared" ref="G16" si="65">G15/F15-1</f>
        <v>0</v>
      </c>
      <c r="H16" s="3">
        <f>H15/$F$15-1</f>
        <v>0</v>
      </c>
      <c r="I16" s="3">
        <f t="shared" ref="I16" si="66">I15/H15-1</f>
        <v>0</v>
      </c>
      <c r="J16" s="3">
        <f t="shared" ref="J16" si="67">J15/I15-1</f>
        <v>-5.2631578947368363E-2</v>
      </c>
      <c r="K16" s="3">
        <f t="shared" ref="K16" si="68">K15/J15-1</f>
        <v>0</v>
      </c>
      <c r="L16" s="3">
        <f t="shared" ref="L16" si="69">L15/K15-1</f>
        <v>0</v>
      </c>
      <c r="M16" s="3">
        <f t="shared" ref="M16" si="70">M15/L15-1</f>
        <v>0</v>
      </c>
      <c r="N16" s="3">
        <f t="shared" ref="N16" si="71">N15/M15-1</f>
        <v>0</v>
      </c>
      <c r="O16" s="3">
        <f t="shared" ref="O16" si="72">O15/N15-1</f>
        <v>-5.555555555555558E-2</v>
      </c>
      <c r="P16" s="3">
        <f t="shared" ref="P16" si="73">P15/O15-1</f>
        <v>0</v>
      </c>
      <c r="Q16" s="3">
        <f t="shared" ref="Q16" si="74">Q15/P15-1</f>
        <v>0</v>
      </c>
      <c r="R16" s="3">
        <f t="shared" ref="R16" si="75">R15/Q15-1</f>
        <v>0</v>
      </c>
      <c r="S16" s="3">
        <f t="shared" ref="S16" si="76">S15/R15-1</f>
        <v>0</v>
      </c>
      <c r="T16" s="3">
        <f t="shared" ref="T16" si="77">T15/S15-1</f>
        <v>-5.8823529411764608E-2</v>
      </c>
      <c r="U16" s="3">
        <f t="shared" ref="U16" si="78">U15/T15-1</f>
        <v>0</v>
      </c>
      <c r="V16" s="3">
        <f t="shared" ref="V16" si="79">V15/U15-1</f>
        <v>0</v>
      </c>
      <c r="W16" s="3">
        <f t="shared" ref="W16" si="80">W15/V15-1</f>
        <v>0</v>
      </c>
      <c r="X16" s="3">
        <f t="shared" ref="X16" si="81">X15/W15-1</f>
        <v>0</v>
      </c>
      <c r="Y16" s="3">
        <f t="shared" ref="Y16" si="82">Y15/X15-1</f>
        <v>-6.2500000000000111E-2</v>
      </c>
      <c r="Z16" s="3">
        <f t="shared" ref="Z16" si="83">Z15/Y15-1</f>
        <v>0</v>
      </c>
      <c r="AA16" s="3">
        <f t="shared" ref="AA16" si="84">AA15/Z15-1</f>
        <v>0</v>
      </c>
      <c r="AB16" s="3">
        <f t="shared" ref="AB16" si="85">AB15/AA15-1</f>
        <v>0</v>
      </c>
      <c r="AC16" s="3">
        <f t="shared" ref="AC16" si="86">AC15/AB15-1</f>
        <v>0</v>
      </c>
      <c r="AD16" s="3">
        <f t="shared" ref="AD16" si="87">AD15/AC15-1</f>
        <v>-6.6666666666666763E-2</v>
      </c>
      <c r="AE16" s="3">
        <f t="shared" ref="AE16" si="88">AE15/AD15-1</f>
        <v>0</v>
      </c>
      <c r="AF16" s="3">
        <f t="shared" ref="AF16" si="89">AF15/AE15-1</f>
        <v>0</v>
      </c>
      <c r="AG16" s="3">
        <f t="shared" ref="AG16" si="90">AG15/AF15-1</f>
        <v>0</v>
      </c>
      <c r="AH16" s="3">
        <f t="shared" ref="AH16" si="91">AH15/AG15-1</f>
        <v>0</v>
      </c>
      <c r="AI16" s="3">
        <f t="shared" ref="AI16" si="92">AI15/AH15-1</f>
        <v>0</v>
      </c>
    </row>
    <row r="17" spans="1:40">
      <c r="A17" t="s">
        <v>194</v>
      </c>
      <c r="B17" s="2">
        <f>B14</f>
        <v>402717.87848663999</v>
      </c>
      <c r="C17" s="2">
        <f>B14+(B14*C16)</f>
        <v>402717.87848663999</v>
      </c>
      <c r="D17" s="2">
        <f>C17+(C17*D16)</f>
        <v>402717.87848663999</v>
      </c>
      <c r="E17" s="2">
        <f t="shared" ref="E17" si="93">D17+(D17*E16)</f>
        <v>382581.984562308</v>
      </c>
      <c r="F17" s="2">
        <f t="shared" ref="F17" si="94">E17+(E17*F16)</f>
        <v>382581.984562308</v>
      </c>
      <c r="G17" s="2">
        <f t="shared" ref="G17" si="95">F17+(F17*G16)</f>
        <v>382581.984562308</v>
      </c>
      <c r="H17" s="2">
        <f t="shared" ref="H17" si="96">G17+(G17*H16)</f>
        <v>382581.984562308</v>
      </c>
      <c r="I17" s="2">
        <f t="shared" ref="I17" si="97">H17+(H17*I16)</f>
        <v>382581.984562308</v>
      </c>
      <c r="J17" s="2">
        <f t="shared" ref="J17" si="98">I17+(I17*J16)</f>
        <v>362446.09063797601</v>
      </c>
      <c r="K17" s="2">
        <f t="shared" ref="K17" si="99">J17+(J17*K16)</f>
        <v>362446.09063797601</v>
      </c>
      <c r="L17" s="2">
        <f t="shared" ref="L17" si="100">K17+(K17*L16)</f>
        <v>362446.09063797601</v>
      </c>
      <c r="M17" s="2">
        <f t="shared" ref="M17" si="101">L17+(L17*M16)</f>
        <v>362446.09063797601</v>
      </c>
      <c r="N17" s="2">
        <f t="shared" ref="N17" si="102">M17+(M17*N16)</f>
        <v>362446.09063797601</v>
      </c>
      <c r="O17" s="2">
        <f t="shared" ref="O17" si="103">N17+(N17*O16)</f>
        <v>342310.19671364402</v>
      </c>
      <c r="P17" s="2">
        <f t="shared" ref="P17" si="104">O17+(O17*P16)</f>
        <v>342310.19671364402</v>
      </c>
      <c r="Q17" s="2">
        <f t="shared" ref="Q17" si="105">P17+(P17*Q16)</f>
        <v>342310.19671364402</v>
      </c>
      <c r="R17" s="2">
        <f t="shared" ref="R17" si="106">Q17+(Q17*R16)</f>
        <v>342310.19671364402</v>
      </c>
      <c r="S17" s="2">
        <f t="shared" ref="S17" si="107">R17+(R17*S16)</f>
        <v>342310.19671364402</v>
      </c>
      <c r="T17" s="2">
        <f t="shared" ref="T17" si="108">S17+(S17*T16)</f>
        <v>322174.30278931203</v>
      </c>
      <c r="U17" s="2">
        <f t="shared" ref="U17" si="109">T17+(T17*U16)</f>
        <v>322174.30278931203</v>
      </c>
      <c r="V17" s="2">
        <f t="shared" ref="V17" si="110">U17+(U17*V16)</f>
        <v>322174.30278931203</v>
      </c>
      <c r="W17" s="2">
        <f t="shared" ref="W17" si="111">V17+(V17*W16)</f>
        <v>322174.30278931203</v>
      </c>
      <c r="X17" s="2">
        <f t="shared" ref="X17" si="112">W17+(W17*X16)</f>
        <v>322174.30278931203</v>
      </c>
      <c r="Y17" s="2">
        <f t="shared" ref="Y17" si="113">X17+(X17*Y16)</f>
        <v>302038.40886497998</v>
      </c>
      <c r="Z17" s="2">
        <f t="shared" ref="Z17" si="114">Y17+(Y17*Z16)</f>
        <v>302038.40886497998</v>
      </c>
      <c r="AA17" s="2">
        <f t="shared" ref="AA17" si="115">Z17+(Z17*AA16)</f>
        <v>302038.40886497998</v>
      </c>
      <c r="AB17" s="2">
        <f t="shared" ref="AB17" si="116">AA17+(AA17*AB16)</f>
        <v>302038.40886497998</v>
      </c>
      <c r="AC17" s="2">
        <f t="shared" ref="AC17" si="117">AB17+(AB17*AC16)</f>
        <v>302038.40886497998</v>
      </c>
      <c r="AD17" s="2">
        <f t="shared" ref="AD17" si="118">AC17+(AC17*AD16)</f>
        <v>281902.51494064793</v>
      </c>
      <c r="AE17" s="2">
        <f t="shared" ref="AE17" si="119">AD17+(AD17*AE16)</f>
        <v>281902.51494064793</v>
      </c>
      <c r="AF17" s="2">
        <f t="shared" ref="AF17" si="120">AE17+(AE17*AF16)</f>
        <v>281902.51494064793</v>
      </c>
      <c r="AG17" s="2">
        <f t="shared" ref="AG17" si="121">AF17+(AF17*AG16)</f>
        <v>281902.51494064793</v>
      </c>
      <c r="AH17" s="2">
        <f t="shared" ref="AH17" si="122">AG17+(AG17*AH16)</f>
        <v>281902.51494064793</v>
      </c>
      <c r="AI17" s="2">
        <f t="shared" ref="AI17" si="123">AH17+(AH17*AI16)</f>
        <v>281902.51494064793</v>
      </c>
      <c r="AJ17" s="2">
        <f>B17-O17</f>
        <v>60407.681772995973</v>
      </c>
      <c r="AK17" s="2">
        <f>O17-AI17</f>
        <v>60407.681772996089</v>
      </c>
      <c r="AL17" s="2">
        <f>B17-AI17</f>
        <v>120815.36354599206</v>
      </c>
      <c r="AM17" s="2"/>
      <c r="AN17" s="2"/>
    </row>
    <row r="19" spans="1:40">
      <c r="F19" s="3">
        <f>F15/$B$15-1</f>
        <v>-5.0000000000000044E-2</v>
      </c>
      <c r="G19" s="3">
        <f t="shared" ref="G19:AG19" si="124">G15/$B$15-1</f>
        <v>-5.0000000000000044E-2</v>
      </c>
      <c r="H19" s="3">
        <f t="shared" si="124"/>
        <v>-5.0000000000000044E-2</v>
      </c>
      <c r="I19" s="3">
        <f t="shared" si="124"/>
        <v>-5.0000000000000044E-2</v>
      </c>
      <c r="J19" s="3">
        <f t="shared" si="124"/>
        <v>-9.9999999999999978E-2</v>
      </c>
      <c r="K19" s="3">
        <f t="shared" si="124"/>
        <v>-9.9999999999999978E-2</v>
      </c>
      <c r="L19" s="3">
        <f t="shared" si="124"/>
        <v>-9.9999999999999978E-2</v>
      </c>
      <c r="M19" s="3">
        <f t="shared" si="124"/>
        <v>-9.9999999999999978E-2</v>
      </c>
      <c r="N19" s="3">
        <f t="shared" si="124"/>
        <v>-9.9999999999999978E-2</v>
      </c>
      <c r="O19" s="3">
        <f t="shared" si="124"/>
        <v>-0.15000000000000002</v>
      </c>
      <c r="P19" s="3">
        <f t="shared" si="124"/>
        <v>-0.15000000000000002</v>
      </c>
      <c r="Q19" s="3">
        <v>-0.13</v>
      </c>
      <c r="R19" s="3">
        <f t="shared" si="124"/>
        <v>-0.15000000000000002</v>
      </c>
      <c r="S19" s="3">
        <f t="shared" si="124"/>
        <v>-0.15000000000000002</v>
      </c>
      <c r="T19" s="3">
        <f t="shared" si="124"/>
        <v>-0.19999999999999996</v>
      </c>
      <c r="U19" s="3">
        <f t="shared" si="124"/>
        <v>-0.19999999999999996</v>
      </c>
      <c r="V19" s="3">
        <f t="shared" si="124"/>
        <v>-0.19999999999999996</v>
      </c>
      <c r="W19" s="3">
        <f t="shared" si="124"/>
        <v>-0.19999999999999996</v>
      </c>
      <c r="X19" s="3">
        <f t="shared" si="124"/>
        <v>-0.19999999999999996</v>
      </c>
      <c r="Y19" s="3">
        <f t="shared" si="124"/>
        <v>-0.25</v>
      </c>
      <c r="Z19" s="3">
        <f t="shared" si="124"/>
        <v>-0.25</v>
      </c>
      <c r="AA19" s="3">
        <f t="shared" si="124"/>
        <v>-0.25</v>
      </c>
      <c r="AB19" s="3">
        <f t="shared" si="124"/>
        <v>-0.25</v>
      </c>
      <c r="AC19" s="3">
        <f t="shared" si="124"/>
        <v>-0.25</v>
      </c>
      <c r="AD19" s="3">
        <f t="shared" si="124"/>
        <v>-0.30000000000000004</v>
      </c>
      <c r="AE19" s="3">
        <f t="shared" si="124"/>
        <v>-0.30000000000000004</v>
      </c>
      <c r="AF19" s="3">
        <f t="shared" si="124"/>
        <v>-0.30000000000000004</v>
      </c>
      <c r="AG19" s="3">
        <f t="shared" si="124"/>
        <v>-0.30000000000000004</v>
      </c>
      <c r="AH19" s="3">
        <f>AH15/$B$15-1</f>
        <v>-0.30000000000000004</v>
      </c>
      <c r="AI19" s="3">
        <f>AI15/$B$15-1</f>
        <v>-0.30000000000000004</v>
      </c>
    </row>
  </sheetData>
  <sheetProtection algorithmName="SHA-512" hashValue="5A3d4w0gSXrEcbQ5CTwW50eK7En7PeExai/8nL5MwZLsflb7ihR4su99ZOfwwMnP2cI/kfujD2o46GvPuR637g==" saltValue="tsfE/63sLTQ/lYw/FMUBTA=="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BF2CE-618B-5D41-AAA4-398EFAA41213}">
  <dimension ref="A1:AB85"/>
  <sheetViews>
    <sheetView workbookViewId="0">
      <selection sqref="A1:XFD1048576"/>
    </sheetView>
  </sheetViews>
  <sheetFormatPr defaultColWidth="11" defaultRowHeight="15.75"/>
  <cols>
    <col min="1" max="1" width="4" customWidth="1"/>
    <col min="2" max="2" width="21.5" bestFit="1" customWidth="1"/>
    <col min="3" max="3" width="15" bestFit="1" customWidth="1"/>
    <col min="4" max="5" width="15.625" bestFit="1" customWidth="1"/>
    <col min="9" max="9" width="18" bestFit="1" customWidth="1"/>
    <col min="10" max="10" width="15" bestFit="1" customWidth="1"/>
    <col min="11" max="11" width="17" customWidth="1"/>
    <col min="12" max="12" width="15" bestFit="1" customWidth="1"/>
    <col min="13" max="13" width="17.625" bestFit="1" customWidth="1"/>
    <col min="14" max="14" width="17.5" bestFit="1" customWidth="1"/>
    <col min="15" max="15" width="15.625" bestFit="1" customWidth="1"/>
    <col min="16" max="16" width="18" bestFit="1" customWidth="1"/>
    <col min="17" max="17" width="13.875" bestFit="1" customWidth="1"/>
    <col min="18" max="18" width="15" bestFit="1" customWidth="1"/>
    <col min="19" max="19" width="15.625" bestFit="1" customWidth="1"/>
    <col min="21" max="21" width="18.875" bestFit="1" customWidth="1"/>
    <col min="22" max="22" width="14" bestFit="1" customWidth="1"/>
  </cols>
  <sheetData>
    <row r="1" spans="1:28">
      <c r="A1" t="s">
        <v>51</v>
      </c>
      <c r="J1" s="844">
        <v>2014</v>
      </c>
      <c r="K1" s="844"/>
      <c r="L1" s="844">
        <v>2015</v>
      </c>
      <c r="M1" s="844"/>
      <c r="N1" s="844">
        <v>2016</v>
      </c>
      <c r="O1" s="844"/>
      <c r="P1" s="844">
        <v>2017</v>
      </c>
      <c r="Q1" s="844"/>
    </row>
    <row r="2" spans="1:28" ht="72">
      <c r="B2" s="842" t="s">
        <v>52</v>
      </c>
      <c r="C2" s="842"/>
      <c r="D2" s="842"/>
      <c r="E2" s="842"/>
      <c r="I2" t="s">
        <v>53</v>
      </c>
      <c r="J2" s="81" t="s">
        <v>54</v>
      </c>
      <c r="K2" s="81" t="s">
        <v>55</v>
      </c>
      <c r="L2" s="81" t="s">
        <v>54</v>
      </c>
      <c r="M2" s="81" t="s">
        <v>55</v>
      </c>
      <c r="N2" s="81" t="s">
        <v>54</v>
      </c>
      <c r="O2" s="81" t="s">
        <v>55</v>
      </c>
      <c r="P2" s="81" t="s">
        <v>54</v>
      </c>
      <c r="Q2" s="81" t="s">
        <v>55</v>
      </c>
      <c r="R2" s="82" t="s">
        <v>56</v>
      </c>
      <c r="S2" s="82" t="s">
        <v>57</v>
      </c>
      <c r="T2" s="82" t="s">
        <v>58</v>
      </c>
      <c r="U2" s="82" t="s">
        <v>56</v>
      </c>
    </row>
    <row r="3" spans="1:28">
      <c r="I3" t="s">
        <v>48</v>
      </c>
      <c r="J3">
        <v>13217911</v>
      </c>
      <c r="K3">
        <v>0.72499996406391298</v>
      </c>
      <c r="L3">
        <v>13119710.220000001</v>
      </c>
      <c r="M3">
        <v>0.73947665387868655</v>
      </c>
      <c r="N3">
        <v>12868974</v>
      </c>
      <c r="O3">
        <v>0.65349373490435525</v>
      </c>
      <c r="P3">
        <v>13200281.323330883</v>
      </c>
      <c r="Q3">
        <v>0.66093647490641594</v>
      </c>
      <c r="R3">
        <f>Q3*0.2931</f>
        <v>0.19372048079507054</v>
      </c>
      <c r="S3">
        <f>SUM(J3,L3,N3,P3)</f>
        <v>52406876.543330878</v>
      </c>
      <c r="T3">
        <f>(SUM(K3,M3,O3,Q3)/4)</f>
        <v>0.69472670693834271</v>
      </c>
    </row>
    <row r="4" spans="1:28">
      <c r="B4" s="83" t="s">
        <v>59</v>
      </c>
      <c r="C4" s="84" t="s">
        <v>60</v>
      </c>
      <c r="D4" s="83" t="s">
        <v>61</v>
      </c>
      <c r="I4" t="s">
        <v>47</v>
      </c>
      <c r="J4">
        <v>17885893</v>
      </c>
      <c r="K4">
        <v>0.38245845482805918</v>
      </c>
      <c r="L4">
        <v>18218774</v>
      </c>
      <c r="M4">
        <v>0.40501716560947354</v>
      </c>
      <c r="N4">
        <v>17280893</v>
      </c>
      <c r="O4">
        <v>0.37005468076599218</v>
      </c>
      <c r="P4">
        <v>17524383.137000006</v>
      </c>
      <c r="Q4">
        <v>0.37940020891087395</v>
      </c>
      <c r="R4">
        <f>Q4*0.2931</f>
        <v>0.11120220123177717</v>
      </c>
      <c r="S4">
        <f>SUM(J4,L4,N4,P4)</f>
        <v>70909943.137000009</v>
      </c>
      <c r="T4">
        <f>SUM(K4,M4,O4,Q4)/4</f>
        <v>0.38423262752859971</v>
      </c>
    </row>
    <row r="5" spans="1:28">
      <c r="B5" t="s">
        <v>4</v>
      </c>
      <c r="C5">
        <f>U5</f>
        <v>0.15129400880666327</v>
      </c>
      <c r="D5" t="s">
        <v>62</v>
      </c>
      <c r="E5" s="85"/>
      <c r="F5" s="85"/>
      <c r="G5" s="85"/>
      <c r="I5" t="s">
        <v>63</v>
      </c>
      <c r="R5" s="86"/>
      <c r="S5">
        <f>SUM(S3:S4)</f>
        <v>123316819.68033089</v>
      </c>
      <c r="T5">
        <f>(K8*T3)+(K9*T4)</f>
        <v>0.51618563223017144</v>
      </c>
      <c r="U5">
        <f>T5*0.2931</f>
        <v>0.15129400880666327</v>
      </c>
    </row>
    <row r="6" spans="1:28">
      <c r="B6" t="s">
        <v>64</v>
      </c>
      <c r="C6" s="87">
        <v>5.3069999999999999E-2</v>
      </c>
      <c r="D6" t="s">
        <v>62</v>
      </c>
      <c r="E6" s="86"/>
      <c r="F6" s="86"/>
    </row>
    <row r="7" spans="1:28">
      <c r="J7" t="s">
        <v>49</v>
      </c>
      <c r="K7" t="s">
        <v>50</v>
      </c>
    </row>
    <row r="8" spans="1:28">
      <c r="B8" s="86"/>
      <c r="C8" s="86"/>
      <c r="D8" s="86"/>
      <c r="E8" s="86"/>
      <c r="F8" s="86"/>
      <c r="G8" s="86"/>
      <c r="I8" t="s">
        <v>48</v>
      </c>
      <c r="J8">
        <f>S3</f>
        <v>52406876.543330878</v>
      </c>
      <c r="K8">
        <f>J8/S5</f>
        <v>0.42497752276764084</v>
      </c>
      <c r="U8" s="86"/>
      <c r="V8" s="86"/>
      <c r="W8" s="86"/>
      <c r="X8" s="86"/>
      <c r="Y8" s="86"/>
      <c r="Z8" s="86"/>
      <c r="AA8" s="86"/>
      <c r="AB8" s="86"/>
    </row>
    <row r="9" spans="1:28">
      <c r="B9" s="86"/>
      <c r="C9" s="86"/>
      <c r="D9" s="86"/>
      <c r="E9" s="86"/>
      <c r="F9" s="86"/>
      <c r="G9" s="86"/>
      <c r="I9" t="s">
        <v>47</v>
      </c>
      <c r="J9">
        <f>S4</f>
        <v>70909943.137000009</v>
      </c>
      <c r="K9">
        <f>S4/S5</f>
        <v>0.57502247723235922</v>
      </c>
      <c r="U9" s="86"/>
      <c r="V9" s="86"/>
      <c r="W9" s="86"/>
      <c r="X9" s="86"/>
      <c r="Y9" s="86"/>
      <c r="Z9" s="86"/>
      <c r="AA9" s="86"/>
      <c r="AB9" s="86"/>
    </row>
    <row r="11" spans="1:28">
      <c r="B11" s="842" t="s">
        <v>65</v>
      </c>
      <c r="C11" s="842"/>
      <c r="D11" s="842"/>
      <c r="E11" s="842"/>
      <c r="F11" s="88"/>
      <c r="I11" s="89" t="s">
        <v>66</v>
      </c>
      <c r="J11" s="89"/>
      <c r="K11" s="89"/>
      <c r="L11" s="89"/>
      <c r="M11" s="90"/>
      <c r="N11" s="90"/>
      <c r="O11" s="90"/>
    </row>
    <row r="12" spans="1:28">
      <c r="B12" s="5" t="s">
        <v>67</v>
      </c>
      <c r="J12" s="9" t="s">
        <v>68</v>
      </c>
      <c r="K12" s="9"/>
    </row>
    <row r="13" spans="1:28">
      <c r="B13" s="91" t="s">
        <v>59</v>
      </c>
      <c r="C13" s="92" t="s">
        <v>14</v>
      </c>
      <c r="D13" s="92" t="s">
        <v>60</v>
      </c>
      <c r="E13" s="83" t="s">
        <v>61</v>
      </c>
      <c r="I13" s="93" t="s">
        <v>69</v>
      </c>
      <c r="J13" s="94" t="s">
        <v>47</v>
      </c>
      <c r="K13" s="94" t="s">
        <v>70</v>
      </c>
      <c r="L13" s="95" t="s">
        <v>71</v>
      </c>
      <c r="M13" s="84" t="s">
        <v>14</v>
      </c>
      <c r="N13" s="84" t="s">
        <v>60</v>
      </c>
      <c r="O13" s="83" t="s">
        <v>61</v>
      </c>
      <c r="P13" t="s">
        <v>72</v>
      </c>
      <c r="Q13" s="83" t="s">
        <v>73</v>
      </c>
      <c r="R13" s="83" t="s">
        <v>60</v>
      </c>
      <c r="S13" s="83" t="s">
        <v>61</v>
      </c>
      <c r="T13" s="5"/>
      <c r="U13" s="83" t="s">
        <v>74</v>
      </c>
      <c r="V13" s="83" t="s">
        <v>75</v>
      </c>
      <c r="W13" s="83" t="s">
        <v>61</v>
      </c>
    </row>
    <row r="14" spans="1:28">
      <c r="B14" s="96" t="s">
        <v>76</v>
      </c>
      <c r="C14" s="97">
        <v>0.4047</v>
      </c>
      <c r="D14">
        <v>0</v>
      </c>
      <c r="E14" t="s">
        <v>62</v>
      </c>
      <c r="I14" s="98" t="s">
        <v>6</v>
      </c>
      <c r="J14" s="99">
        <f>O35</f>
        <v>5536250</v>
      </c>
      <c r="K14" s="100">
        <f>O48</f>
        <v>9414367</v>
      </c>
      <c r="L14" s="101">
        <f t="shared" ref="L14:L28" si="0">J14+K14</f>
        <v>14950617</v>
      </c>
      <c r="M14" s="102">
        <f t="shared" ref="M14:M29" si="1">L14/$L$29</f>
        <v>0.44375320409240515</v>
      </c>
      <c r="N14" s="103">
        <v>9.5519999999999994E-2</v>
      </c>
      <c r="O14" t="s">
        <v>62</v>
      </c>
      <c r="P14" s="104">
        <f>M14/(M$14+M$15+M$19+M$21+M$22+M$23+M$24+M$25)</f>
        <v>0.64572319330327599</v>
      </c>
      <c r="Q14" s="105">
        <f t="shared" ref="Q14:Q29" si="2">J14/$J$29</f>
        <v>0.29380355629536176</v>
      </c>
      <c r="R14" s="106">
        <v>9.5519999999999994E-2</v>
      </c>
      <c r="S14" t="s">
        <v>62</v>
      </c>
      <c r="U14" s="79">
        <f t="shared" ref="U14:U29" si="3">K14/$K$29</f>
        <v>0.63405313136558228</v>
      </c>
      <c r="V14" s="106">
        <v>9.5519999999999994E-2</v>
      </c>
      <c r="W14" t="s">
        <v>62</v>
      </c>
    </row>
    <row r="15" spans="1:28">
      <c r="B15" s="96" t="s">
        <v>6</v>
      </c>
      <c r="C15" s="97">
        <v>0.31890000000000002</v>
      </c>
      <c r="D15" s="106">
        <v>9.5519999999999994E-2</v>
      </c>
      <c r="E15" t="s">
        <v>62</v>
      </c>
      <c r="I15" s="98" t="s">
        <v>64</v>
      </c>
      <c r="J15" s="99">
        <f>O33</f>
        <v>5294633</v>
      </c>
      <c r="K15" s="100">
        <f>O49</f>
        <v>2501024</v>
      </c>
      <c r="L15" s="101">
        <f t="shared" si="0"/>
        <v>7795657</v>
      </c>
      <c r="M15" s="107">
        <f t="shared" si="1"/>
        <v>0.2313849503171265</v>
      </c>
      <c r="N15" s="98">
        <v>5.3060000000000003E-2</v>
      </c>
      <c r="O15" t="s">
        <v>62</v>
      </c>
      <c r="P15" s="104">
        <f>M15/(M$14+M$15+M$19+M$21+M$22+M$23+M$24+M$25)</f>
        <v>0.33669757789508192</v>
      </c>
      <c r="Q15" s="80">
        <f t="shared" si="2"/>
        <v>0.28098117040935294</v>
      </c>
      <c r="R15">
        <v>5.3060000000000003E-2</v>
      </c>
      <c r="S15" t="s">
        <v>62</v>
      </c>
      <c r="U15" s="79">
        <f t="shared" si="3"/>
        <v>0.16844277462525883</v>
      </c>
      <c r="V15">
        <v>5.3060000000000003E-2</v>
      </c>
      <c r="W15" t="s">
        <v>62</v>
      </c>
    </row>
    <row r="16" spans="1:28">
      <c r="B16" s="96" t="s">
        <v>77</v>
      </c>
      <c r="C16" s="97">
        <v>0.1658</v>
      </c>
      <c r="D16">
        <v>5.3060000000000003E-2</v>
      </c>
      <c r="E16" t="s">
        <v>62</v>
      </c>
      <c r="I16" t="s">
        <v>76</v>
      </c>
      <c r="J16" s="71">
        <f>O34</f>
        <v>5698642</v>
      </c>
      <c r="K16" s="2">
        <f>O52</f>
        <v>1422678</v>
      </c>
      <c r="L16" s="73">
        <f t="shared" si="0"/>
        <v>7121320</v>
      </c>
      <c r="M16" s="80">
        <f t="shared" si="1"/>
        <v>0.21136977606792592</v>
      </c>
      <c r="N16">
        <v>0</v>
      </c>
      <c r="O16" t="s">
        <v>62</v>
      </c>
      <c r="Q16" s="80">
        <f t="shared" si="2"/>
        <v>0.30242154629110191</v>
      </c>
      <c r="R16">
        <v>0</v>
      </c>
      <c r="S16" t="s">
        <v>62</v>
      </c>
      <c r="U16" s="79">
        <f t="shared" si="3"/>
        <v>9.5816685372996813E-2</v>
      </c>
      <c r="V16">
        <v>0</v>
      </c>
      <c r="W16" t="s">
        <v>62</v>
      </c>
    </row>
    <row r="17" spans="2:23">
      <c r="B17" s="96" t="s">
        <v>78</v>
      </c>
      <c r="C17" s="97">
        <v>6.4899999999999999E-2</v>
      </c>
      <c r="D17">
        <v>0</v>
      </c>
      <c r="E17" t="s">
        <v>62</v>
      </c>
      <c r="I17" t="s">
        <v>78</v>
      </c>
      <c r="J17" s="71">
        <f>O37</f>
        <v>1937138</v>
      </c>
      <c r="K17" s="2">
        <f>O51</f>
        <v>1183309</v>
      </c>
      <c r="L17" s="73">
        <f t="shared" si="0"/>
        <v>3120447</v>
      </c>
      <c r="M17" s="80">
        <f t="shared" si="1"/>
        <v>9.2618809942795893E-2</v>
      </c>
      <c r="N17">
        <v>0</v>
      </c>
      <c r="O17" t="s">
        <v>62</v>
      </c>
      <c r="P17" s="104"/>
      <c r="Q17" s="80">
        <f t="shared" si="2"/>
        <v>0.10280208325759937</v>
      </c>
      <c r="R17">
        <v>0</v>
      </c>
      <c r="S17" t="s">
        <v>62</v>
      </c>
      <c r="U17" s="79">
        <f t="shared" si="3"/>
        <v>7.9695297285847871E-2</v>
      </c>
      <c r="V17">
        <v>0</v>
      </c>
      <c r="W17" t="s">
        <v>62</v>
      </c>
    </row>
    <row r="18" spans="2:23">
      <c r="B18" s="96" t="s">
        <v>79</v>
      </c>
      <c r="C18" s="97">
        <v>3.2500000000000001E-2</v>
      </c>
      <c r="D18">
        <v>0</v>
      </c>
      <c r="E18" t="s">
        <v>62</v>
      </c>
      <c r="I18" t="s">
        <v>79</v>
      </c>
      <c r="J18" s="71">
        <f>O36</f>
        <v>85773</v>
      </c>
      <c r="K18" s="2">
        <f>O50</f>
        <v>32153</v>
      </c>
      <c r="L18" s="73">
        <f t="shared" si="0"/>
        <v>117926</v>
      </c>
      <c r="M18" s="80">
        <f t="shared" si="1"/>
        <v>3.5001926907632622E-3</v>
      </c>
      <c r="N18">
        <v>0</v>
      </c>
      <c r="O18" t="s">
        <v>62</v>
      </c>
      <c r="P18" s="104"/>
      <c r="Q18" s="80">
        <f t="shared" si="2"/>
        <v>4.5518920630611094E-3</v>
      </c>
      <c r="R18">
        <v>0</v>
      </c>
      <c r="S18" t="s">
        <v>62</v>
      </c>
      <c r="U18" s="79">
        <f t="shared" si="3"/>
        <v>2.1654892286223351E-3</v>
      </c>
      <c r="V18">
        <v>0</v>
      </c>
      <c r="W18" t="s">
        <v>62</v>
      </c>
    </row>
    <row r="19" spans="2:23">
      <c r="B19" s="96" t="s">
        <v>80</v>
      </c>
      <c r="C19" s="80">
        <v>3.8E-3</v>
      </c>
      <c r="D19">
        <v>0.52070000000000005</v>
      </c>
      <c r="I19" s="98" t="s">
        <v>80</v>
      </c>
      <c r="J19" s="99">
        <f>O41</f>
        <v>75442</v>
      </c>
      <c r="K19" s="100">
        <f>O54</f>
        <v>84046</v>
      </c>
      <c r="L19" s="101">
        <f t="shared" si="0"/>
        <v>159488</v>
      </c>
      <c r="M19" s="107">
        <f t="shared" si="1"/>
        <v>4.7338053683195491E-3</v>
      </c>
      <c r="N19" s="98">
        <v>0.52070000000000005</v>
      </c>
      <c r="O19" t="s">
        <v>62</v>
      </c>
      <c r="P19" s="104">
        <f>M19/(M$14+M$15+M$19+M$21+M$22+M$23+M$24+M$25)</f>
        <v>6.8883512067463753E-3</v>
      </c>
      <c r="Q19" s="80">
        <f t="shared" si="2"/>
        <v>4.0036356548267659E-3</v>
      </c>
      <c r="R19">
        <v>0.52070000000000005</v>
      </c>
      <c r="S19" t="s">
        <v>62</v>
      </c>
      <c r="U19" s="79">
        <f t="shared" si="3"/>
        <v>5.6604580508441754E-3</v>
      </c>
      <c r="V19">
        <v>0.52070000000000005</v>
      </c>
      <c r="W19" t="s">
        <v>62</v>
      </c>
    </row>
    <row r="20" spans="2:23">
      <c r="B20" s="96" t="s">
        <v>81</v>
      </c>
      <c r="C20" s="80">
        <v>2.7000000000000001E-3</v>
      </c>
      <c r="D20">
        <v>0</v>
      </c>
      <c r="I20" t="s">
        <v>82</v>
      </c>
      <c r="J20" s="71">
        <f>O39</f>
        <v>39354</v>
      </c>
      <c r="K20" s="2">
        <f>O53</f>
        <v>89346</v>
      </c>
      <c r="L20" s="73">
        <f t="shared" si="0"/>
        <v>128700</v>
      </c>
      <c r="M20" s="80">
        <f t="shared" si="1"/>
        <v>3.8199786247412092E-3</v>
      </c>
      <c r="N20">
        <v>0</v>
      </c>
      <c r="O20" t="s">
        <v>62</v>
      </c>
      <c r="P20" s="104"/>
      <c r="Q20" s="80">
        <f t="shared" si="2"/>
        <v>2.0884795943910892E-3</v>
      </c>
      <c r="R20">
        <v>0</v>
      </c>
      <c r="S20" t="s">
        <v>62</v>
      </c>
      <c r="U20" s="79">
        <f t="shared" si="3"/>
        <v>6.0174105253161811E-3</v>
      </c>
      <c r="V20">
        <v>0</v>
      </c>
      <c r="W20" t="s">
        <v>62</v>
      </c>
    </row>
    <row r="21" spans="2:23">
      <c r="B21" s="96" t="s">
        <v>83</v>
      </c>
      <c r="C21" s="80">
        <v>1.1999999999999999E-3</v>
      </c>
      <c r="D21">
        <v>7.7099999999999998E-3</v>
      </c>
      <c r="I21" s="98" t="s">
        <v>83</v>
      </c>
      <c r="J21" s="99">
        <v>0</v>
      </c>
      <c r="K21" s="100">
        <f>O55</f>
        <v>56993</v>
      </c>
      <c r="L21" s="101">
        <f t="shared" si="0"/>
        <v>56993</v>
      </c>
      <c r="M21" s="107">
        <f t="shared" si="1"/>
        <v>1.6916242560984906E-3</v>
      </c>
      <c r="N21" s="98">
        <v>7.7099999999999998E-3</v>
      </c>
      <c r="O21" t="s">
        <v>62</v>
      </c>
      <c r="P21" s="104">
        <f>M21/(M$14+M$15+M$19+M$21+M$22+M$23+M$24+M$25)</f>
        <v>2.4615507143239375E-3</v>
      </c>
      <c r="Q21" s="80">
        <f t="shared" si="2"/>
        <v>0</v>
      </c>
      <c r="R21">
        <v>7.7099999999999998E-3</v>
      </c>
      <c r="S21" t="s">
        <v>62</v>
      </c>
      <c r="U21" s="79">
        <f t="shared" si="3"/>
        <v>3.8384513919967889E-3</v>
      </c>
      <c r="V21">
        <v>7.7099999999999998E-3</v>
      </c>
      <c r="W21" t="s">
        <v>62</v>
      </c>
    </row>
    <row r="22" spans="2:23">
      <c r="B22" s="3" t="s">
        <v>84</v>
      </c>
      <c r="C22" s="80">
        <v>1.1999999999999999E-3</v>
      </c>
      <c r="D22">
        <f>73.84/1000</f>
        <v>7.3840000000000003E-2</v>
      </c>
      <c r="I22" s="98" t="s">
        <v>84</v>
      </c>
      <c r="J22" s="99">
        <f>O38</f>
        <v>59859</v>
      </c>
      <c r="K22" s="100">
        <f>O56</f>
        <v>19321</v>
      </c>
      <c r="L22" s="101">
        <f t="shared" si="0"/>
        <v>79180</v>
      </c>
      <c r="M22" s="107">
        <f t="shared" si="1"/>
        <v>2.350162451491911E-3</v>
      </c>
      <c r="N22" s="98">
        <f>73.84/1000</f>
        <v>7.3840000000000003E-2</v>
      </c>
      <c r="O22" t="s">
        <v>62</v>
      </c>
      <c r="P22" s="104">
        <f>M22/(M$14+M$15+M$19+M$21+M$22+M$23+M$24+M$25)</f>
        <v>3.4198162153276611E-3</v>
      </c>
      <c r="Q22" s="80">
        <f t="shared" si="2"/>
        <v>3.1766605692091325E-3</v>
      </c>
      <c r="R22">
        <f>73.84/1000</f>
        <v>7.3840000000000003E-2</v>
      </c>
      <c r="S22" t="s">
        <v>62</v>
      </c>
      <c r="U22" s="79">
        <f t="shared" si="3"/>
        <v>1.3012601432591715E-3</v>
      </c>
      <c r="V22">
        <f>73.84/1000</f>
        <v>7.3840000000000003E-2</v>
      </c>
      <c r="W22" t="s">
        <v>62</v>
      </c>
    </row>
    <row r="23" spans="2:23">
      <c r="B23" s="3" t="s">
        <v>85</v>
      </c>
      <c r="C23" s="80">
        <v>1E-3</v>
      </c>
      <c r="D23">
        <v>4.1689999999999998E-2</v>
      </c>
      <c r="I23" s="98" t="s">
        <v>85</v>
      </c>
      <c r="J23" s="99">
        <f>O42</f>
        <v>42469</v>
      </c>
      <c r="K23" s="100">
        <f>O60</f>
        <v>2833</v>
      </c>
      <c r="L23" s="101">
        <f t="shared" si="0"/>
        <v>45302</v>
      </c>
      <c r="M23" s="107">
        <f t="shared" si="1"/>
        <v>1.3446206034034673E-3</v>
      </c>
      <c r="N23" s="98">
        <v>4.1689999999999998E-2</v>
      </c>
      <c r="O23" t="s">
        <v>62</v>
      </c>
      <c r="P23" s="104">
        <f>M23/(M$14+M$15+M$19+M$21+M$22+M$23+M$24+M$25)</f>
        <v>1.9566116972312918E-3</v>
      </c>
      <c r="Q23" s="80">
        <f t="shared" si="2"/>
        <v>2.2537897010264565E-3</v>
      </c>
      <c r="R23">
        <v>4.1689999999999998E-2</v>
      </c>
      <c r="S23" t="s">
        <v>62</v>
      </c>
      <c r="U23" s="79">
        <f t="shared" si="3"/>
        <v>1.9080120003380947E-4</v>
      </c>
      <c r="V23">
        <v>4.1689999999999998E-2</v>
      </c>
      <c r="W23" t="s">
        <v>62</v>
      </c>
    </row>
    <row r="24" spans="2:23">
      <c r="B24" s="3" t="s">
        <v>86</v>
      </c>
      <c r="C24" s="80">
        <v>8.0000000000000004E-4</v>
      </c>
      <c r="D24">
        <v>7.3160000000000003E-2</v>
      </c>
      <c r="I24" s="98" t="s">
        <v>86</v>
      </c>
      <c r="J24" s="99">
        <f>O43</f>
        <v>21228</v>
      </c>
      <c r="K24" s="100">
        <f>O58</f>
        <v>13331</v>
      </c>
      <c r="L24" s="101">
        <f t="shared" si="0"/>
        <v>34559</v>
      </c>
      <c r="M24" s="107">
        <f t="shared" si="1"/>
        <v>1.0257547885969809E-3</v>
      </c>
      <c r="N24" s="98">
        <v>7.3160000000000003E-2</v>
      </c>
      <c r="O24" t="s">
        <v>62</v>
      </c>
      <c r="P24" s="104">
        <f>M24/(M$14+M$15+M$19+M$21+M$22+M$23+M$24+M$25)</f>
        <v>1.4926171834492123E-3</v>
      </c>
      <c r="Q24" s="80">
        <f t="shared" si="2"/>
        <v>1.1265499016550806E-3</v>
      </c>
      <c r="R24">
        <v>7.3160000000000003E-2</v>
      </c>
      <c r="S24" t="s">
        <v>62</v>
      </c>
      <c r="U24" s="79">
        <f t="shared" si="3"/>
        <v>8.9783649758232045E-4</v>
      </c>
      <c r="V24">
        <v>7.3160000000000003E-2</v>
      </c>
      <c r="W24" t="s">
        <v>62</v>
      </c>
    </row>
    <row r="25" spans="2:23">
      <c r="B25" s="3" t="s">
        <v>87</v>
      </c>
      <c r="C25" s="80">
        <v>6.9999999999999999E-4</v>
      </c>
      <c r="D25">
        <f>105.51/1000</f>
        <v>0.10551000000000001</v>
      </c>
      <c r="I25" s="98" t="s">
        <v>87</v>
      </c>
      <c r="J25" s="99">
        <f>O40</f>
        <v>30245</v>
      </c>
      <c r="K25" s="100">
        <f>O59</f>
        <v>1250</v>
      </c>
      <c r="L25" s="101">
        <f t="shared" si="0"/>
        <v>31495</v>
      </c>
      <c r="M25" s="107">
        <f t="shared" si="1"/>
        <v>9.3481139694036037E-4</v>
      </c>
      <c r="N25" s="98">
        <f>105.51/1000</f>
        <v>0.10551000000000001</v>
      </c>
      <c r="O25" t="s">
        <v>62</v>
      </c>
      <c r="P25" s="104">
        <f>M25/(M$14+M$15+M$19+M$21+M$22+M$23+M$24+M$25)</f>
        <v>1.3602817845635852E-3</v>
      </c>
      <c r="Q25" s="80">
        <f t="shared" si="2"/>
        <v>1.6050735714885015E-3</v>
      </c>
      <c r="R25">
        <f>105.51/1000</f>
        <v>0.10551000000000001</v>
      </c>
      <c r="S25" t="s">
        <v>62</v>
      </c>
      <c r="U25" s="79">
        <f t="shared" si="3"/>
        <v>8.4186904356604953E-5</v>
      </c>
      <c r="V25">
        <f>105.51/1000</f>
        <v>0.10551000000000001</v>
      </c>
      <c r="W25" t="s">
        <v>62</v>
      </c>
    </row>
    <row r="26" spans="2:23">
      <c r="B26" s="3" t="s">
        <v>88</v>
      </c>
      <c r="C26" s="80">
        <v>6.9999999999999999E-4</v>
      </c>
      <c r="I26" t="s">
        <v>88</v>
      </c>
      <c r="J26" s="71">
        <f>O44</f>
        <v>22340</v>
      </c>
      <c r="K26" s="2">
        <f>O57</f>
        <v>27264</v>
      </c>
      <c r="L26" s="73">
        <f t="shared" si="0"/>
        <v>49604</v>
      </c>
      <c r="M26" s="80">
        <f t="shared" si="1"/>
        <v>1.4723093993913204E-3</v>
      </c>
      <c r="O26" t="s">
        <v>62</v>
      </c>
      <c r="Q26" s="80">
        <f t="shared" si="2"/>
        <v>1.1855626909258762E-3</v>
      </c>
      <c r="S26" t="s">
        <v>62</v>
      </c>
      <c r="U26" s="79">
        <f t="shared" si="3"/>
        <v>1.836217408302782E-3</v>
      </c>
      <c r="W26" t="s">
        <v>62</v>
      </c>
    </row>
    <row r="27" spans="2:23">
      <c r="B27" s="3" t="s">
        <v>89</v>
      </c>
      <c r="C27" s="80">
        <v>5.9999999999999995E-4</v>
      </c>
      <c r="D27">
        <v>5.2069999999999998E-2</v>
      </c>
      <c r="I27" t="s">
        <v>90</v>
      </c>
      <c r="J27" s="71">
        <v>0</v>
      </c>
      <c r="K27">
        <v>0</v>
      </c>
      <c r="L27" s="73">
        <f t="shared" si="0"/>
        <v>0</v>
      </c>
      <c r="M27" s="80">
        <f t="shared" si="1"/>
        <v>0</v>
      </c>
      <c r="N27">
        <v>5.2069999999999998E-2</v>
      </c>
      <c r="O27" t="s">
        <v>62</v>
      </c>
      <c r="P27" s="76"/>
      <c r="Q27" s="80">
        <f t="shared" si="2"/>
        <v>0</v>
      </c>
      <c r="R27">
        <v>5.2069999999999998E-2</v>
      </c>
      <c r="S27" t="s">
        <v>62</v>
      </c>
      <c r="U27" s="79">
        <f t="shared" si="3"/>
        <v>0</v>
      </c>
      <c r="V27">
        <v>5.2069999999999998E-2</v>
      </c>
      <c r="W27" t="s">
        <v>62</v>
      </c>
    </row>
    <row r="28" spans="2:23">
      <c r="B28" s="3" t="s">
        <v>91</v>
      </c>
      <c r="C28" s="80">
        <v>5.0000000000000001E-4</v>
      </c>
      <c r="I28" t="s">
        <v>92</v>
      </c>
      <c r="J28" s="71">
        <v>0</v>
      </c>
      <c r="K28">
        <v>0</v>
      </c>
      <c r="L28" s="73">
        <f t="shared" si="0"/>
        <v>0</v>
      </c>
      <c r="M28" s="80">
        <f t="shared" si="1"/>
        <v>0</v>
      </c>
      <c r="O28" t="s">
        <v>62</v>
      </c>
      <c r="Q28" s="80">
        <f t="shared" si="2"/>
        <v>0</v>
      </c>
      <c r="S28" t="s">
        <v>62</v>
      </c>
      <c r="U28" s="79">
        <f t="shared" si="3"/>
        <v>0</v>
      </c>
      <c r="W28" t="s">
        <v>62</v>
      </c>
    </row>
    <row r="29" spans="2:23">
      <c r="B29" s="3"/>
      <c r="C29" s="80"/>
      <c r="I29" s="5" t="s">
        <v>93</v>
      </c>
      <c r="J29" s="71">
        <f>SUM(J14:J28)</f>
        <v>18843373</v>
      </c>
      <c r="K29" s="71">
        <f>SUM(K14:K28)</f>
        <v>14847915</v>
      </c>
      <c r="L29" s="78">
        <f>SUM(L14:L28)</f>
        <v>33691288</v>
      </c>
      <c r="M29" s="108">
        <f t="shared" si="1"/>
        <v>1</v>
      </c>
      <c r="Q29" s="80">
        <f t="shared" si="2"/>
        <v>1</v>
      </c>
      <c r="U29" s="79">
        <f t="shared" si="3"/>
        <v>1</v>
      </c>
    </row>
    <row r="30" spans="2:23">
      <c r="B30" s="3"/>
      <c r="C30" s="80"/>
      <c r="I30" s="5" t="s">
        <v>94</v>
      </c>
      <c r="J30" s="3">
        <f>J29/L29</f>
        <v>0.55929512104138024</v>
      </c>
      <c r="K30" s="3">
        <f>K29/L29</f>
        <v>0.44070487895861982</v>
      </c>
      <c r="L30" s="78"/>
      <c r="M30" s="108"/>
    </row>
    <row r="31" spans="2:23">
      <c r="B31" s="3"/>
      <c r="C31" s="80"/>
      <c r="I31" s="5"/>
      <c r="J31" s="71"/>
      <c r="L31" s="78"/>
      <c r="M31" s="108"/>
    </row>
    <row r="32" spans="2:23">
      <c r="B32" s="109" t="s">
        <v>95</v>
      </c>
      <c r="C32" s="109" t="s">
        <v>96</v>
      </c>
      <c r="D32" s="109" t="s">
        <v>97</v>
      </c>
      <c r="E32" s="109" t="s">
        <v>98</v>
      </c>
      <c r="F32" s="109"/>
      <c r="G32" s="109"/>
      <c r="I32" s="843" t="s">
        <v>99</v>
      </c>
      <c r="J32" s="843"/>
      <c r="K32" s="843"/>
      <c r="L32" s="843"/>
      <c r="N32" s="843" t="s">
        <v>100</v>
      </c>
      <c r="O32" s="843"/>
      <c r="P32" s="843"/>
    </row>
    <row r="33" spans="2:16">
      <c r="B33" s="3" t="s">
        <v>64</v>
      </c>
      <c r="C33" s="80">
        <f>F33/$F$45</f>
        <v>0.24795511761105304</v>
      </c>
      <c r="F33" s="2">
        <v>4672313</v>
      </c>
      <c r="G33" t="s">
        <v>101</v>
      </c>
      <c r="I33" t="s">
        <v>76</v>
      </c>
      <c r="J33" s="71">
        <v>1536807</v>
      </c>
      <c r="K33" t="s">
        <v>68</v>
      </c>
      <c r="L33" s="80">
        <f t="shared" ref="L33:L41" si="4">J33/$J$42</f>
        <v>0.39857206657430322</v>
      </c>
      <c r="N33" s="3" t="s">
        <v>64</v>
      </c>
      <c r="O33" s="2">
        <f>J35+F33</f>
        <v>5294633</v>
      </c>
      <c r="P33" s="80">
        <f>O33/$O$45</f>
        <v>0.28098117040935294</v>
      </c>
    </row>
    <row r="34" spans="2:16">
      <c r="B34" s="3" t="s">
        <v>76</v>
      </c>
      <c r="C34" s="80">
        <f t="shared" ref="C34:C44" si="5">F34/$F$45</f>
        <v>0.22086454544094047</v>
      </c>
      <c r="F34" s="2">
        <v>4161835</v>
      </c>
      <c r="G34" t="s">
        <v>101</v>
      </c>
      <c r="I34" t="s">
        <v>102</v>
      </c>
      <c r="J34" s="2">
        <v>1515061</v>
      </c>
      <c r="K34" t="s">
        <v>68</v>
      </c>
      <c r="L34" s="80">
        <f t="shared" si="4"/>
        <v>0.39293222490275642</v>
      </c>
      <c r="N34" s="3" t="s">
        <v>76</v>
      </c>
      <c r="O34" s="71">
        <f>J33+F34</f>
        <v>5698642</v>
      </c>
      <c r="P34" s="80">
        <f t="shared" ref="P34:P45" si="6">O34/$O$45</f>
        <v>0.30242154629110191</v>
      </c>
    </row>
    <row r="35" spans="2:16">
      <c r="B35" s="3" t="s">
        <v>6</v>
      </c>
      <c r="C35" s="80">
        <f t="shared" si="5"/>
        <v>0.21340059868233843</v>
      </c>
      <c r="F35" s="2">
        <v>4021189</v>
      </c>
      <c r="G35" t="s">
        <v>101</v>
      </c>
      <c r="I35" t="s">
        <v>64</v>
      </c>
      <c r="J35" s="2">
        <v>622320</v>
      </c>
      <c r="K35" t="s">
        <v>68</v>
      </c>
      <c r="L35" s="80">
        <f t="shared" si="4"/>
        <v>0.16139916623917017</v>
      </c>
      <c r="N35" s="3" t="s">
        <v>6</v>
      </c>
      <c r="O35" s="2">
        <f>J34+F35</f>
        <v>5536250</v>
      </c>
      <c r="P35" s="80">
        <f t="shared" si="6"/>
        <v>0.29380355629536176</v>
      </c>
    </row>
    <row r="36" spans="2:16">
      <c r="B36" s="3" t="s">
        <v>103</v>
      </c>
      <c r="C36" s="80">
        <f t="shared" si="5"/>
        <v>0.2046230872992969</v>
      </c>
      <c r="F36" s="2">
        <v>3855791</v>
      </c>
      <c r="G36" t="s">
        <v>68</v>
      </c>
      <c r="I36" t="s">
        <v>79</v>
      </c>
      <c r="J36" s="2">
        <v>85773</v>
      </c>
      <c r="K36" t="s">
        <v>68</v>
      </c>
      <c r="L36" s="80">
        <f t="shared" si="4"/>
        <v>2.2245292913344168E-2</v>
      </c>
      <c r="N36" s="3" t="s">
        <v>79</v>
      </c>
      <c r="O36" s="2">
        <f>J36</f>
        <v>85773</v>
      </c>
      <c r="P36" s="80">
        <f t="shared" si="6"/>
        <v>4.5518920630611094E-3</v>
      </c>
    </row>
    <row r="37" spans="2:16">
      <c r="B37" s="3" t="s">
        <v>78</v>
      </c>
      <c r="C37" s="80">
        <f t="shared" si="5"/>
        <v>0.10280203415713804</v>
      </c>
      <c r="F37" s="2">
        <v>1937138</v>
      </c>
      <c r="G37" t="s">
        <v>68</v>
      </c>
      <c r="I37" t="s">
        <v>80</v>
      </c>
      <c r="J37" s="2">
        <v>45966</v>
      </c>
      <c r="K37" t="s">
        <v>68</v>
      </c>
      <c r="L37" s="80">
        <f t="shared" si="4"/>
        <v>1.1921317128406118E-2</v>
      </c>
      <c r="N37" s="3" t="s">
        <v>78</v>
      </c>
      <c r="O37" s="2">
        <f>F37</f>
        <v>1937138</v>
      </c>
      <c r="P37" s="80">
        <f t="shared" si="6"/>
        <v>0.10280208325759937</v>
      </c>
    </row>
    <row r="38" spans="2:16">
      <c r="B38" s="3" t="s">
        <v>84</v>
      </c>
      <c r="C38" s="80">
        <f t="shared" si="5"/>
        <v>2.9554142669293653E-3</v>
      </c>
      <c r="F38" s="2">
        <v>55690</v>
      </c>
      <c r="G38" t="s">
        <v>101</v>
      </c>
      <c r="I38" t="s">
        <v>104</v>
      </c>
      <c r="J38" s="2">
        <v>17570</v>
      </c>
      <c r="K38" t="s">
        <v>68</v>
      </c>
      <c r="L38" s="80">
        <f t="shared" si="4"/>
        <v>4.556792889224546E-3</v>
      </c>
      <c r="N38" s="3" t="s">
        <v>84</v>
      </c>
      <c r="O38" s="2">
        <f>J41+F38</f>
        <v>59859</v>
      </c>
      <c r="P38" s="80">
        <f t="shared" si="6"/>
        <v>3.1766605692091325E-3</v>
      </c>
    </row>
    <row r="39" spans="2:16">
      <c r="B39" s="3" t="s">
        <v>81</v>
      </c>
      <c r="C39" s="80">
        <f t="shared" si="5"/>
        <v>2.0884785968888174E-3</v>
      </c>
      <c r="F39" s="2">
        <v>39354</v>
      </c>
      <c r="G39" t="s">
        <v>68</v>
      </c>
      <c r="I39" t="s">
        <v>105</v>
      </c>
      <c r="J39" s="2">
        <v>13562</v>
      </c>
      <c r="K39" t="s">
        <v>68</v>
      </c>
      <c r="L39" s="80">
        <f t="shared" si="4"/>
        <v>3.5173150349267672E-3</v>
      </c>
      <c r="N39" s="3" t="s">
        <v>81</v>
      </c>
      <c r="O39" s="2">
        <f>F39</f>
        <v>39354</v>
      </c>
      <c r="P39" s="80">
        <f t="shared" si="6"/>
        <v>2.0884795943910892E-3</v>
      </c>
    </row>
    <row r="40" spans="2:16">
      <c r="B40" s="3" t="s">
        <v>87</v>
      </c>
      <c r="C40" s="80">
        <f t="shared" si="5"/>
        <v>1.6050728048712275E-3</v>
      </c>
      <c r="F40" s="2">
        <v>30245</v>
      </c>
      <c r="G40" t="s">
        <v>68</v>
      </c>
      <c r="I40" t="s">
        <v>85</v>
      </c>
      <c r="J40" s="2">
        <v>14554</v>
      </c>
      <c r="K40" t="s">
        <v>68</v>
      </c>
      <c r="L40" s="80">
        <f t="shared" si="4"/>
        <v>3.7745909908807086E-3</v>
      </c>
      <c r="N40" s="3" t="s">
        <v>87</v>
      </c>
      <c r="O40" s="2">
        <f>F40</f>
        <v>30245</v>
      </c>
      <c r="P40" s="80">
        <f t="shared" si="6"/>
        <v>1.6050735714885015E-3</v>
      </c>
    </row>
    <row r="41" spans="2:16">
      <c r="B41" s="3" t="s">
        <v>80</v>
      </c>
      <c r="C41" s="80">
        <f t="shared" si="5"/>
        <v>1.5642627209913804E-3</v>
      </c>
      <c r="F41" s="2">
        <v>29476</v>
      </c>
      <c r="G41" t="s">
        <v>68</v>
      </c>
      <c r="I41" t="s">
        <v>84</v>
      </c>
      <c r="J41" s="2">
        <v>4169</v>
      </c>
      <c r="K41" t="s">
        <v>68</v>
      </c>
      <c r="L41" s="80">
        <f t="shared" si="4"/>
        <v>1.0812333269878847E-3</v>
      </c>
      <c r="N41" s="3" t="s">
        <v>80</v>
      </c>
      <c r="O41" s="2">
        <f>F41+J37</f>
        <v>75442</v>
      </c>
      <c r="P41" s="80">
        <f t="shared" si="6"/>
        <v>4.0036356548267659E-3</v>
      </c>
    </row>
    <row r="42" spans="2:16">
      <c r="B42" s="3" t="s">
        <v>85</v>
      </c>
      <c r="C42" s="80">
        <f t="shared" si="5"/>
        <v>1.4814219655473735E-3</v>
      </c>
      <c r="F42" s="2">
        <v>27915</v>
      </c>
      <c r="G42" t="s">
        <v>68</v>
      </c>
      <c r="J42" s="110">
        <f>SUM(J33:J41)</f>
        <v>3855782</v>
      </c>
      <c r="L42" s="11"/>
      <c r="N42" s="3" t="s">
        <v>85</v>
      </c>
      <c r="O42" s="2">
        <f>F42+J40</f>
        <v>42469</v>
      </c>
      <c r="P42" s="80">
        <f t="shared" si="6"/>
        <v>2.2537897010264565E-3</v>
      </c>
    </row>
    <row r="43" spans="2:16">
      <c r="B43" s="3" t="s">
        <v>86</v>
      </c>
      <c r="C43" s="80">
        <f t="shared" si="5"/>
        <v>4.0682718208440502E-4</v>
      </c>
      <c r="F43" s="2">
        <v>7666</v>
      </c>
      <c r="G43" t="s">
        <v>68</v>
      </c>
      <c r="L43" s="11"/>
      <c r="N43" s="3" t="s">
        <v>86</v>
      </c>
      <c r="O43" s="2">
        <f>F43+J39</f>
        <v>21228</v>
      </c>
      <c r="P43" s="80">
        <f t="shared" si="6"/>
        <v>1.1265499016550806E-3</v>
      </c>
    </row>
    <row r="44" spans="2:16">
      <c r="B44" s="3" t="s">
        <v>88</v>
      </c>
      <c r="C44" s="80">
        <f t="shared" si="5"/>
        <v>2.5313927192050769E-4</v>
      </c>
      <c r="F44" s="2">
        <v>4770</v>
      </c>
      <c r="G44" t="s">
        <v>68</v>
      </c>
      <c r="L44" s="11"/>
      <c r="N44" s="3" t="s">
        <v>88</v>
      </c>
      <c r="O44" s="2">
        <f>F44+J38</f>
        <v>22340</v>
      </c>
      <c r="P44" s="80">
        <f t="shared" si="6"/>
        <v>1.1855626909258762E-3</v>
      </c>
    </row>
    <row r="45" spans="2:16">
      <c r="C45" s="3"/>
      <c r="F45" s="8">
        <f>SUM(F33:F44)</f>
        <v>18843382</v>
      </c>
      <c r="L45" s="11"/>
      <c r="N45" s="6" t="s">
        <v>106</v>
      </c>
      <c r="O45" s="8">
        <f>SUM(O33:O44)</f>
        <v>18843373</v>
      </c>
      <c r="P45" s="108">
        <f t="shared" si="6"/>
        <v>1</v>
      </c>
    </row>
    <row r="46" spans="2:16">
      <c r="C46" s="3"/>
      <c r="L46" s="11"/>
    </row>
    <row r="47" spans="2:16">
      <c r="B47" s="111" t="s">
        <v>107</v>
      </c>
      <c r="C47" s="109" t="s">
        <v>96</v>
      </c>
      <c r="D47" s="109" t="s">
        <v>97</v>
      </c>
      <c r="E47" s="109" t="s">
        <v>98</v>
      </c>
      <c r="F47" s="111"/>
      <c r="G47" s="111"/>
      <c r="I47" s="843" t="s">
        <v>108</v>
      </c>
      <c r="J47" s="843"/>
      <c r="K47" s="843"/>
      <c r="L47" s="843"/>
      <c r="N47" s="843" t="s">
        <v>109</v>
      </c>
      <c r="O47" s="843"/>
      <c r="P47" s="843"/>
    </row>
    <row r="48" spans="2:16">
      <c r="B48" t="s">
        <v>6</v>
      </c>
      <c r="C48" s="80">
        <f>F48/$F$61</f>
        <v>0.59224827189541429</v>
      </c>
      <c r="F48" s="2">
        <v>8793652</v>
      </c>
      <c r="G48" t="s">
        <v>68</v>
      </c>
      <c r="I48" t="s">
        <v>76</v>
      </c>
      <c r="J48" s="2">
        <v>618857</v>
      </c>
      <c r="K48" t="s">
        <v>68</v>
      </c>
      <c r="L48" s="80">
        <f t="shared" ref="L48:L56" si="7">J48/$J$57</f>
        <v>0.39472980911456124</v>
      </c>
      <c r="N48" s="77" t="s">
        <v>6</v>
      </c>
      <c r="O48" s="2">
        <f>F48+J49</f>
        <v>9414367</v>
      </c>
      <c r="P48" s="80">
        <f>O48/$O$61</f>
        <v>0.63405313136558228</v>
      </c>
    </row>
    <row r="49" spans="2:17">
      <c r="B49" t="s">
        <v>64</v>
      </c>
      <c r="C49" s="80">
        <f t="shared" ref="C49:C60" si="8">F49/$F$61</f>
        <v>0.15121079289583755</v>
      </c>
      <c r="F49" s="2">
        <v>2245165</v>
      </c>
      <c r="G49" t="s">
        <v>68</v>
      </c>
      <c r="I49" t="s">
        <v>6</v>
      </c>
      <c r="J49" s="2">
        <v>620715</v>
      </c>
      <c r="K49" t="s">
        <v>68</v>
      </c>
      <c r="L49" s="80">
        <f t="shared" si="7"/>
        <v>0.39591491001078583</v>
      </c>
      <c r="N49" s="77" t="s">
        <v>64</v>
      </c>
      <c r="O49" s="2">
        <f>F49+J50</f>
        <v>2501024</v>
      </c>
      <c r="P49" s="80">
        <f t="shared" ref="P49:P61" si="9">O49/$O$61</f>
        <v>0.16844277462525883</v>
      </c>
    </row>
    <row r="50" spans="2:17">
      <c r="B50" t="s">
        <v>103</v>
      </c>
      <c r="C50" s="80">
        <f t="shared" si="8"/>
        <v>0.1055905155707047</v>
      </c>
      <c r="F50" s="2">
        <v>1567799</v>
      </c>
      <c r="G50" t="s">
        <v>68</v>
      </c>
      <c r="I50" t="s">
        <v>64</v>
      </c>
      <c r="J50" s="2">
        <v>255859</v>
      </c>
      <c r="K50" t="s">
        <v>68</v>
      </c>
      <c r="L50" s="80">
        <f t="shared" si="7"/>
        <v>0.16319630258725767</v>
      </c>
      <c r="N50" s="77" t="s">
        <v>79</v>
      </c>
      <c r="O50" s="2">
        <f>J51</f>
        <v>32153</v>
      </c>
      <c r="P50" s="80">
        <f t="shared" si="9"/>
        <v>2.1654892286223351E-3</v>
      </c>
    </row>
    <row r="51" spans="2:17">
      <c r="B51" t="s">
        <v>78</v>
      </c>
      <c r="C51" s="80">
        <f t="shared" si="8"/>
        <v>7.9695297285847871E-2</v>
      </c>
      <c r="F51" s="2">
        <v>1183309</v>
      </c>
      <c r="G51" t="s">
        <v>68</v>
      </c>
      <c r="I51" t="s">
        <v>79</v>
      </c>
      <c r="J51" s="2">
        <v>32153</v>
      </c>
      <c r="K51" t="s">
        <v>68</v>
      </c>
      <c r="L51" s="80">
        <f t="shared" si="7"/>
        <v>2.0508368738594681E-2</v>
      </c>
      <c r="N51" s="77" t="s">
        <v>78</v>
      </c>
      <c r="O51" s="2">
        <f>F51</f>
        <v>1183309</v>
      </c>
      <c r="P51" s="80">
        <f t="shared" si="9"/>
        <v>7.9695297285847871E-2</v>
      </c>
    </row>
    <row r="52" spans="2:17">
      <c r="B52" t="s">
        <v>76</v>
      </c>
      <c r="C52" s="80">
        <f t="shared" si="8"/>
        <v>5.4136961317464441E-2</v>
      </c>
      <c r="F52" s="2">
        <v>803821</v>
      </c>
      <c r="G52" t="s">
        <v>68</v>
      </c>
      <c r="I52" t="s">
        <v>80</v>
      </c>
      <c r="J52" s="2">
        <v>22301</v>
      </c>
      <c r="K52" t="s">
        <v>68</v>
      </c>
      <c r="L52" s="80">
        <f t="shared" si="7"/>
        <v>1.4224399939022796E-2</v>
      </c>
      <c r="N52" s="77" t="s">
        <v>76</v>
      </c>
      <c r="O52" s="2">
        <f>J48+F52</f>
        <v>1422678</v>
      </c>
      <c r="P52" s="80">
        <f t="shared" si="9"/>
        <v>9.5816685372996813E-2</v>
      </c>
    </row>
    <row r="53" spans="2:17">
      <c r="B53" t="s">
        <v>81</v>
      </c>
      <c r="C53" s="80">
        <f t="shared" si="8"/>
        <v>6.0174105253161811E-3</v>
      </c>
      <c r="F53" s="2">
        <v>89346</v>
      </c>
      <c r="G53" t="s">
        <v>68</v>
      </c>
      <c r="I53" t="s">
        <v>88</v>
      </c>
      <c r="J53" s="2">
        <v>9628</v>
      </c>
      <c r="K53" t="s">
        <v>68</v>
      </c>
      <c r="L53" s="80">
        <f t="shared" si="7"/>
        <v>6.1410933416847441E-3</v>
      </c>
      <c r="N53" s="77" t="s">
        <v>81</v>
      </c>
      <c r="O53" s="2">
        <f>F53</f>
        <v>89346</v>
      </c>
      <c r="P53" s="80">
        <f t="shared" si="9"/>
        <v>6.0174105253161811E-3</v>
      </c>
    </row>
    <row r="54" spans="2:17">
      <c r="B54" t="s">
        <v>80</v>
      </c>
      <c r="C54" s="80">
        <f t="shared" si="8"/>
        <v>4.158496327598858E-3</v>
      </c>
      <c r="F54" s="2">
        <v>61745</v>
      </c>
      <c r="G54" t="s">
        <v>68</v>
      </c>
      <c r="I54" t="s">
        <v>86</v>
      </c>
      <c r="J54" s="2">
        <v>5880</v>
      </c>
      <c r="K54" t="s">
        <v>68</v>
      </c>
      <c r="L54" s="80">
        <f t="shared" si="7"/>
        <v>3.7504807695374217E-3</v>
      </c>
      <c r="N54" s="77" t="s">
        <v>80</v>
      </c>
      <c r="O54" s="2">
        <f>J52+F54</f>
        <v>84046</v>
      </c>
      <c r="P54" s="80">
        <f t="shared" si="9"/>
        <v>5.6604580508441754E-3</v>
      </c>
    </row>
    <row r="55" spans="2:17">
      <c r="B55" t="s">
        <v>83</v>
      </c>
      <c r="C55" s="80">
        <f t="shared" si="8"/>
        <v>3.8384513919967889E-3</v>
      </c>
      <c r="F55" s="2">
        <v>56993</v>
      </c>
      <c r="G55" t="s">
        <v>68</v>
      </c>
      <c r="I55" t="s">
        <v>85</v>
      </c>
      <c r="J55" s="2">
        <v>1869</v>
      </c>
      <c r="K55" t="s">
        <v>68</v>
      </c>
      <c r="L55" s="80">
        <f t="shared" si="7"/>
        <v>1.1921171017458233E-3</v>
      </c>
      <c r="N55" s="77" t="s">
        <v>83</v>
      </c>
      <c r="O55" s="2">
        <f>F55</f>
        <v>56993</v>
      </c>
      <c r="P55" s="80">
        <f t="shared" si="9"/>
        <v>3.8384513919967889E-3</v>
      </c>
    </row>
    <row r="56" spans="2:17">
      <c r="B56" t="s">
        <v>84</v>
      </c>
      <c r="C56" s="80">
        <f t="shared" si="8"/>
        <v>1.2650934491475739E-3</v>
      </c>
      <c r="F56" s="2">
        <v>18784</v>
      </c>
      <c r="G56" t="s">
        <v>68</v>
      </c>
      <c r="I56" t="s">
        <v>84</v>
      </c>
      <c r="J56" s="2">
        <v>537</v>
      </c>
      <c r="K56" t="s">
        <v>68</v>
      </c>
      <c r="L56" s="80">
        <f t="shared" si="7"/>
        <v>3.4251839680979514E-4</v>
      </c>
      <c r="N56" s="77" t="s">
        <v>84</v>
      </c>
      <c r="O56" s="2">
        <f>F56+J56</f>
        <v>19321</v>
      </c>
      <c r="P56" s="80">
        <f t="shared" si="9"/>
        <v>1.3012601432591715E-3</v>
      </c>
    </row>
    <row r="57" spans="2:17">
      <c r="B57" t="s">
        <v>88</v>
      </c>
      <c r="C57" s="80">
        <f t="shared" si="8"/>
        <v>1.1877761961864679E-3</v>
      </c>
      <c r="F57" s="2">
        <v>17636</v>
      </c>
      <c r="G57" t="s">
        <v>68</v>
      </c>
      <c r="J57" s="8">
        <f>SUM(J48:J56)</f>
        <v>1567799</v>
      </c>
      <c r="N57" s="77" t="s">
        <v>88</v>
      </c>
      <c r="O57" s="2">
        <f>F57+J53</f>
        <v>27264</v>
      </c>
      <c r="P57" s="80">
        <f t="shared" si="9"/>
        <v>1.836217408302782E-3</v>
      </c>
    </row>
    <row r="58" spans="2:17">
      <c r="B58" t="s">
        <v>86</v>
      </c>
      <c r="C58" s="80">
        <f t="shared" si="8"/>
        <v>5.0182129948885077E-4</v>
      </c>
      <c r="F58" s="2">
        <v>7451</v>
      </c>
      <c r="G58" t="s">
        <v>68</v>
      </c>
      <c r="N58" s="77" t="s">
        <v>86</v>
      </c>
      <c r="O58" s="2">
        <f>F58+J54</f>
        <v>13331</v>
      </c>
      <c r="P58" s="80">
        <f t="shared" si="9"/>
        <v>8.9783649758232045E-4</v>
      </c>
    </row>
    <row r="59" spans="2:17">
      <c r="B59" t="s">
        <v>110</v>
      </c>
      <c r="C59" s="80">
        <f t="shared" si="8"/>
        <v>8.4186904356604953E-5</v>
      </c>
      <c r="F59" s="2">
        <v>1250</v>
      </c>
      <c r="G59" t="s">
        <v>68</v>
      </c>
      <c r="N59" s="77" t="s">
        <v>110</v>
      </c>
      <c r="O59" s="2">
        <f>F59</f>
        <v>1250</v>
      </c>
      <c r="P59" s="80">
        <f t="shared" si="9"/>
        <v>8.4186904356604953E-5</v>
      </c>
    </row>
    <row r="60" spans="2:17">
      <c r="B60" t="s">
        <v>85</v>
      </c>
      <c r="C60" s="80">
        <f t="shared" si="8"/>
        <v>6.4924940639813738E-5</v>
      </c>
      <c r="F60" s="2">
        <v>964</v>
      </c>
      <c r="G60" t="s">
        <v>68</v>
      </c>
      <c r="N60" s="77" t="s">
        <v>85</v>
      </c>
      <c r="O60" s="2">
        <f>F60+J55</f>
        <v>2833</v>
      </c>
      <c r="P60" s="80">
        <f t="shared" si="9"/>
        <v>1.9080120003380947E-4</v>
      </c>
    </row>
    <row r="61" spans="2:17">
      <c r="C61" s="3"/>
      <c r="F61" s="8">
        <f>SUM(F48:F60)</f>
        <v>14847915</v>
      </c>
      <c r="N61" s="112" t="s">
        <v>111</v>
      </c>
      <c r="O61" s="8">
        <f>SUM(O48:O60)</f>
        <v>14847915</v>
      </c>
      <c r="P61" s="108">
        <f t="shared" si="9"/>
        <v>1</v>
      </c>
      <c r="Q61" s="5"/>
    </row>
    <row r="62" spans="2:17">
      <c r="C62" s="3"/>
    </row>
    <row r="63" spans="2:17">
      <c r="D63" s="80"/>
      <c r="G63" s="2"/>
      <c r="K63" s="2"/>
      <c r="M63" s="80"/>
      <c r="O63" s="77"/>
      <c r="P63" s="2"/>
      <c r="Q63" s="80"/>
    </row>
    <row r="64" spans="2:17">
      <c r="D64" s="80"/>
      <c r="G64" s="2"/>
      <c r="K64" s="2"/>
      <c r="M64" s="80"/>
      <c r="O64" s="77"/>
      <c r="P64" s="2"/>
      <c r="Q64" s="80"/>
    </row>
    <row r="65" spans="3:17">
      <c r="D65" s="80"/>
      <c r="G65" s="2"/>
      <c r="K65" s="2"/>
      <c r="M65" s="80"/>
      <c r="O65" s="77"/>
      <c r="P65" s="2"/>
      <c r="Q65" s="80"/>
    </row>
    <row r="66" spans="3:17">
      <c r="D66" s="80"/>
      <c r="G66" s="2"/>
      <c r="K66" s="2"/>
      <c r="M66" s="80"/>
      <c r="O66" s="77"/>
      <c r="P66" s="2"/>
      <c r="Q66" s="80"/>
    </row>
    <row r="67" spans="3:17">
      <c r="D67" s="80"/>
      <c r="G67" s="2"/>
      <c r="K67" s="8"/>
      <c r="O67" s="77"/>
      <c r="P67" s="2"/>
      <c r="Q67" s="80"/>
    </row>
    <row r="68" spans="3:17">
      <c r="D68" s="80"/>
      <c r="G68" s="2"/>
      <c r="O68" s="77"/>
      <c r="P68" s="2"/>
      <c r="Q68" s="80"/>
    </row>
    <row r="69" spans="3:17">
      <c r="D69" s="80"/>
      <c r="G69" s="2"/>
      <c r="O69" s="77"/>
      <c r="P69" s="2"/>
      <c r="Q69" s="80"/>
    </row>
    <row r="70" spans="3:17">
      <c r="D70" s="80"/>
      <c r="G70" s="2"/>
      <c r="O70" s="77"/>
      <c r="P70" s="2"/>
      <c r="Q70" s="80"/>
    </row>
    <row r="71" spans="3:17">
      <c r="D71" s="3"/>
      <c r="G71" s="8"/>
      <c r="O71" s="112"/>
      <c r="P71" s="8"/>
      <c r="Q71" s="108"/>
    </row>
    <row r="76" spans="3:17">
      <c r="C76" s="3"/>
    </row>
    <row r="77" spans="3:17">
      <c r="C77" s="3"/>
    </row>
    <row r="78" spans="3:17">
      <c r="C78" s="3"/>
    </row>
    <row r="79" spans="3:17">
      <c r="C79" s="3"/>
    </row>
    <row r="80" spans="3:17">
      <c r="C80" s="3"/>
    </row>
    <row r="81" spans="3:3">
      <c r="C81" s="3"/>
    </row>
    <row r="82" spans="3:3">
      <c r="C82" s="3"/>
    </row>
    <row r="83" spans="3:3">
      <c r="C83" s="3"/>
    </row>
    <row r="84" spans="3:3">
      <c r="C84" s="3"/>
    </row>
    <row r="85" spans="3:3">
      <c r="C85" s="3"/>
    </row>
  </sheetData>
  <mergeCells count="10">
    <mergeCell ref="J1:K1"/>
    <mergeCell ref="L1:M1"/>
    <mergeCell ref="N1:O1"/>
    <mergeCell ref="P1:Q1"/>
    <mergeCell ref="B2:E2"/>
    <mergeCell ref="B11:E11"/>
    <mergeCell ref="I32:L32"/>
    <mergeCell ref="N32:P32"/>
    <mergeCell ref="I47:L47"/>
    <mergeCell ref="N47:P47"/>
  </mergeCell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7308-BCE8-DF4F-A335-46D83AD1968B}">
  <sheetPr>
    <tabColor theme="8" tint="0.39997558519241921"/>
  </sheetPr>
  <dimension ref="A20:AO124"/>
  <sheetViews>
    <sheetView topLeftCell="A45" zoomScale="106" zoomScaleNormal="106" workbookViewId="0">
      <selection activeCell="D51" sqref="D51"/>
    </sheetView>
  </sheetViews>
  <sheetFormatPr defaultColWidth="11" defaultRowHeight="15.75"/>
  <cols>
    <col min="1" max="1" width="57.875" customWidth="1"/>
    <col min="2" max="2" width="21.875" customWidth="1"/>
    <col min="3" max="4" width="20.625" customWidth="1"/>
    <col min="5" max="5" width="70" customWidth="1"/>
    <col min="6" max="6" width="40.5" bestFit="1" customWidth="1"/>
    <col min="7" max="7" width="10.875" customWidth="1"/>
    <col min="8" max="17" width="10.875" bestFit="1" customWidth="1"/>
    <col min="18" max="19" width="9.375" customWidth="1"/>
    <col min="20" max="23" width="12.375" customWidth="1"/>
    <col min="25" max="25" width="16.125" style="2" customWidth="1"/>
    <col min="26" max="26" width="16.625" customWidth="1"/>
    <col min="28" max="28" width="8.125" bestFit="1" customWidth="1"/>
    <col min="30" max="30" width="14.5" style="2" customWidth="1"/>
    <col min="34" max="34" width="8.125" bestFit="1" customWidth="1"/>
    <col min="35" max="35" width="18.5" customWidth="1"/>
    <col min="36" max="36" width="13.625" style="2" customWidth="1"/>
    <col min="37" max="37" width="10.5" bestFit="1" customWidth="1"/>
    <col min="38" max="38" width="9.625" customWidth="1"/>
    <col min="39" max="39" width="20.125" bestFit="1" customWidth="1"/>
    <col min="41" max="41" width="14.625" style="2" customWidth="1"/>
    <col min="44" max="44" width="11.375" customWidth="1"/>
    <col min="45" max="45" width="4.375" customWidth="1"/>
  </cols>
  <sheetData>
    <row r="20" spans="1:6">
      <c r="A20" t="s">
        <v>471</v>
      </c>
    </row>
    <row r="21" spans="1:6">
      <c r="A21" s="162" t="s">
        <v>20</v>
      </c>
      <c r="B21" s="163" t="s">
        <v>199</v>
      </c>
      <c r="C21" s="163"/>
      <c r="D21" s="163" t="s">
        <v>128</v>
      </c>
      <c r="E21" s="164" t="s">
        <v>203</v>
      </c>
      <c r="F21" s="212"/>
    </row>
    <row r="22" spans="1:6">
      <c r="A22" s="140" t="s">
        <v>201</v>
      </c>
      <c r="B22" s="252">
        <v>3531955.87</v>
      </c>
      <c r="C22" s="252"/>
      <c r="D22" s="125" t="s">
        <v>21</v>
      </c>
      <c r="E22" s="141" t="s">
        <v>204</v>
      </c>
    </row>
    <row r="23" spans="1:6">
      <c r="A23" s="140" t="s">
        <v>200</v>
      </c>
      <c r="B23" s="253">
        <f>'2030 Goal Calculation'!P7+'2030 Goal Calculation'!P8+'2030 Goal Calculation'!P19+'2030 Goal Calculation'!P20</f>
        <v>3861575.8949634419</v>
      </c>
      <c r="C23" s="253"/>
      <c r="D23" s="125" t="s">
        <v>21</v>
      </c>
      <c r="E23" s="141" t="s">
        <v>205</v>
      </c>
    </row>
    <row r="24" spans="1:6">
      <c r="A24" s="140" t="s">
        <v>198</v>
      </c>
      <c r="B24" s="254">
        <f>B23/B22</f>
        <v>1.0933250689124385</v>
      </c>
      <c r="C24" s="254"/>
      <c r="D24" s="125" t="s">
        <v>202</v>
      </c>
      <c r="E24" s="141" t="s">
        <v>206</v>
      </c>
    </row>
    <row r="25" spans="1:6">
      <c r="A25" s="154" t="s">
        <v>209</v>
      </c>
      <c r="B25" s="255">
        <f>'2030 Goal Calculation'!P37</f>
        <v>5354200.762373535</v>
      </c>
      <c r="C25" s="255"/>
      <c r="D25" s="156" t="s">
        <v>21</v>
      </c>
      <c r="E25" s="157"/>
    </row>
    <row r="26" spans="1:6">
      <c r="A26" s="125"/>
      <c r="B26" s="253"/>
      <c r="C26" s="253"/>
      <c r="D26" s="125"/>
      <c r="E26" s="125"/>
    </row>
    <row r="27" spans="1:6">
      <c r="A27" s="210" t="s">
        <v>472</v>
      </c>
      <c r="B27" s="253"/>
      <c r="C27" s="253"/>
      <c r="D27" s="125"/>
      <c r="E27" s="125"/>
    </row>
    <row r="28" spans="1:6">
      <c r="A28" s="162" t="s">
        <v>435</v>
      </c>
      <c r="B28" s="163" t="s">
        <v>364</v>
      </c>
      <c r="C28" s="163" t="s">
        <v>365</v>
      </c>
      <c r="D28" s="163" t="s">
        <v>366</v>
      </c>
      <c r="E28" s="164" t="s">
        <v>203</v>
      </c>
      <c r="F28" s="212"/>
    </row>
    <row r="29" spans="1:6">
      <c r="A29" s="140" t="s">
        <v>352</v>
      </c>
      <c r="B29" s="252">
        <f>'A2030 Emissions Data'!C2+'A2030 Emissions Data'!C3</f>
        <v>674787.09981305024</v>
      </c>
      <c r="C29" s="252">
        <f>'A2030 Emissions Data'!P2+'A2030 Emissions Data'!P3</f>
        <v>283120.54658064106</v>
      </c>
      <c r="D29" s="252">
        <f>'A2030 Emissions Data'!AJ2+'A2030 Emissions Data'!AJ3</f>
        <v>122541.26221659977</v>
      </c>
      <c r="E29" s="141" t="s">
        <v>204</v>
      </c>
    </row>
    <row r="30" spans="1:6">
      <c r="A30" s="140" t="s">
        <v>353</v>
      </c>
      <c r="B30" s="252">
        <f>'A2030 Emissions Data'!C4+'A2030 Emissions Data'!C5+'A2030 Emissions Data'!C6</f>
        <v>631326.14540215617</v>
      </c>
      <c r="C30" s="252">
        <f>'A2030 Emissions Data'!P4+'A2030 Emissions Data'!P5+'A2030 Emissions Data'!P6</f>
        <v>270700.92554050963</v>
      </c>
      <c r="D30" s="252">
        <f>'A2030 Emissions Data'!AJ4+'A2030 Emissions Data'!AJ5+'A2030 Emissions Data'!AJ6</f>
        <v>120438.61543094131</v>
      </c>
      <c r="E30" s="141" t="s">
        <v>204</v>
      </c>
    </row>
    <row r="31" spans="1:6">
      <c r="A31" s="140" t="s">
        <v>354</v>
      </c>
      <c r="B31" s="253">
        <f>'A2030 Emissions Data'!C7+'A2030 Emissions Data'!C8</f>
        <v>1416160.1950343144</v>
      </c>
      <c r="C31" s="253">
        <f>'A2030 Emissions Data'!P7+'A2030 Emissions Data'!P8</f>
        <v>612510.48187723849</v>
      </c>
      <c r="D31" s="253">
        <f>'A2030 Emissions Data'!AJ7+'A2030 Emissions Data'!AJ8</f>
        <v>279030.12502147601</v>
      </c>
      <c r="E31" s="141" t="s">
        <v>204</v>
      </c>
    </row>
    <row r="32" spans="1:6">
      <c r="A32" s="305" t="s">
        <v>409</v>
      </c>
      <c r="B32" s="306">
        <f>SUM(B29:B31)</f>
        <v>2722273.4402495208</v>
      </c>
      <c r="C32" s="306">
        <f t="shared" ref="C32:D32" si="0">SUM(C29:C31)</f>
        <v>1166331.9539983892</v>
      </c>
      <c r="D32" s="306">
        <f t="shared" si="0"/>
        <v>522010.00266901706</v>
      </c>
      <c r="E32" s="141"/>
    </row>
    <row r="33" spans="1:41">
      <c r="A33" s="312" t="s">
        <v>355</v>
      </c>
      <c r="B33" s="313">
        <f>'A2030 Emissions Data'!C11+'A2030 Emissions Data'!C12</f>
        <v>324524.07509857579</v>
      </c>
      <c r="C33" s="313">
        <f>'A2030 Emissions Data'!P11+'A2030 Emissions Data'!P12</f>
        <v>313024.59020193195</v>
      </c>
      <c r="D33" s="313">
        <f>'A2030 Emissions Data'!AJ11+'A2030 Emissions Data'!AJ12</f>
        <v>294182.57493824908</v>
      </c>
      <c r="E33" s="314" t="s">
        <v>204</v>
      </c>
    </row>
    <row r="34" spans="1:41">
      <c r="A34" s="312" t="s">
        <v>356</v>
      </c>
      <c r="B34" s="315">
        <f>'A2030 Emissions Data'!C13+'A2030 Emissions Data'!C14+'A2030 Emissions Data'!C15</f>
        <v>159537.17955653532</v>
      </c>
      <c r="C34" s="315">
        <f>'A2030 Emissions Data'!P13+'A2030 Emissions Data'!P14+'A2030 Emissions Data'!P15</f>
        <v>157262.36169015343</v>
      </c>
      <c r="D34" s="315">
        <f>'A2030 Emissions Data'!AJ13+'A2030 Emissions Data'!AJ14+'A2030 Emissions Data'!AJ15</f>
        <v>151924.68162810293</v>
      </c>
      <c r="E34" s="314" t="s">
        <v>204</v>
      </c>
    </row>
    <row r="35" spans="1:41">
      <c r="A35" s="312" t="s">
        <v>357</v>
      </c>
      <c r="B35" s="315">
        <f>'A2030 Emissions Data'!C16+'A2030 Emissions Data'!C17</f>
        <v>325621.17105928401</v>
      </c>
      <c r="C35" s="315">
        <f>'A2030 Emissions Data'!P16+'A2030 Emissions Data'!P17</f>
        <v>323773.04818215634</v>
      </c>
      <c r="D35" s="315">
        <f>'A2030 Emissions Data'!AJ16+'A2030 Emissions Data'!AJ17</f>
        <v>320262.27949542069</v>
      </c>
      <c r="E35" s="314" t="s">
        <v>204</v>
      </c>
    </row>
    <row r="36" spans="1:41">
      <c r="A36" s="316" t="s">
        <v>410</v>
      </c>
      <c r="B36" s="317">
        <f>SUM(B33:B35)</f>
        <v>809682.42571439513</v>
      </c>
      <c r="C36" s="317">
        <f t="shared" ref="C36:D36" si="1">SUM(C33:C35)</f>
        <v>794060.00007424178</v>
      </c>
      <c r="D36" s="317">
        <f t="shared" si="1"/>
        <v>766369.53606177261</v>
      </c>
      <c r="E36" s="314"/>
    </row>
    <row r="37" spans="1:41">
      <c r="A37" s="140" t="s">
        <v>358</v>
      </c>
      <c r="B37" s="254"/>
      <c r="C37" s="252">
        <f>'A2030 Emissions Data'!P29+'A2030 Emissions Data'!P30</f>
        <v>17461.341703123704</v>
      </c>
      <c r="D37" s="252">
        <f>'A2030 Emissions Data'!AJ29+'A2030 Emissions Data'!AJ30</f>
        <v>15170.452903759466</v>
      </c>
      <c r="E37" s="141" t="s">
        <v>204</v>
      </c>
    </row>
    <row r="38" spans="1:41">
      <c r="A38" s="140" t="s">
        <v>359</v>
      </c>
      <c r="B38" s="254"/>
      <c r="C38" s="252">
        <f>'A2030 Emissions Data'!P31+'A2030 Emissions Data'!P32+'A2030 Emissions Data'!P33</f>
        <v>64434.454756849897</v>
      </c>
      <c r="D38" s="252">
        <f>'A2030 Emissions Data'!AJ31+'A2030 Emissions Data'!AJ32+'A2030 Emissions Data'!AJ33</f>
        <v>86493.278028995672</v>
      </c>
      <c r="E38" s="141" t="s">
        <v>204</v>
      </c>
    </row>
    <row r="39" spans="1:41">
      <c r="A39" s="140" t="s">
        <v>360</v>
      </c>
      <c r="B39" s="254"/>
      <c r="C39" s="252">
        <f>'A2030 Emissions Data'!P34+'A2030 Emissions Data'!P35</f>
        <v>65540.630317170668</v>
      </c>
      <c r="D39" s="252">
        <f>'A2030 Emissions Data'!AJ34+'A2030 Emissions Data'!AJ35</f>
        <v>76915.1422571523</v>
      </c>
      <c r="E39" s="141" t="s">
        <v>204</v>
      </c>
    </row>
    <row r="40" spans="1:41" s="5" customFormat="1">
      <c r="A40" s="305" t="s">
        <v>411</v>
      </c>
      <c r="B40" s="307"/>
      <c r="C40" s="306">
        <f t="shared" ref="C40:D40" si="2">SUM(C37:C39)</f>
        <v>147436.42677714425</v>
      </c>
      <c r="D40" s="306">
        <f t="shared" si="2"/>
        <v>178578.87318990743</v>
      </c>
      <c r="E40" s="308"/>
      <c r="Y40" s="8"/>
      <c r="AD40" s="8"/>
      <c r="AJ40" s="8"/>
      <c r="AO40" s="8"/>
    </row>
    <row r="41" spans="1:41">
      <c r="A41" s="312" t="s">
        <v>361</v>
      </c>
      <c r="B41" s="318"/>
      <c r="C41" s="315">
        <f>'A2030 Emissions Data'!P38+'A2030 Emissions Data'!P39</f>
        <v>19305.661129187505</v>
      </c>
      <c r="D41" s="315">
        <f>'A2030 Emissions Data'!AJ38+'A2030 Emissions Data'!AJ39</f>
        <v>36419.429810662114</v>
      </c>
      <c r="E41" s="314" t="s">
        <v>204</v>
      </c>
    </row>
    <row r="42" spans="1:41">
      <c r="A42" s="312" t="s">
        <v>362</v>
      </c>
      <c r="B42" s="318"/>
      <c r="C42" s="315">
        <f>'A2030 Emissions Data'!P40+'A2030 Emissions Data'!P41+'A2030 Emissions Data'!P42</f>
        <v>37432.877294552003</v>
      </c>
      <c r="D42" s="315">
        <f>'A2030 Emissions Data'!AJ40+'A2030 Emissions Data'!AJ41+'A2030 Emissions Data'!AJ42</f>
        <v>109105.07133038915</v>
      </c>
      <c r="E42" s="314" t="s">
        <v>204</v>
      </c>
    </row>
    <row r="43" spans="1:41">
      <c r="A43" s="312" t="s">
        <v>363</v>
      </c>
      <c r="B43" s="318"/>
      <c r="C43" s="315">
        <f>'A2030 Emissions Data'!P43+'A2030 Emissions Data'!P44</f>
        <v>34644.777984098633</v>
      </c>
      <c r="D43" s="315">
        <f>'A2030 Emissions Data'!AJ43+'A2030 Emissions Data'!AJ44</f>
        <v>88280.857793022296</v>
      </c>
      <c r="E43" s="314" t="s">
        <v>204</v>
      </c>
    </row>
    <row r="44" spans="1:41" s="5" customFormat="1">
      <c r="A44" s="319" t="s">
        <v>412</v>
      </c>
      <c r="B44" s="320"/>
      <c r="C44" s="320">
        <f>SUM(C41:C43)</f>
        <v>91383.316407838138</v>
      </c>
      <c r="D44" s="320">
        <f>SUM(D41:D43)</f>
        <v>233805.35893407356</v>
      </c>
      <c r="E44" s="321"/>
      <c r="Y44" s="8"/>
      <c r="AD44" s="8"/>
      <c r="AJ44" s="8"/>
      <c r="AO44" s="8"/>
    </row>
    <row r="45" spans="1:41" s="5" customFormat="1">
      <c r="A45" s="138" t="s">
        <v>413</v>
      </c>
      <c r="B45" s="306">
        <f>B32+B36</f>
        <v>3531955.8659639158</v>
      </c>
      <c r="C45" s="306">
        <f>C32+C36+C40+C44</f>
        <v>2199211.6972576138</v>
      </c>
      <c r="D45" s="306">
        <f>D32+D36+D40+D44</f>
        <v>1700763.7708547707</v>
      </c>
      <c r="E45" s="138"/>
      <c r="Y45" s="8"/>
      <c r="AD45" s="8"/>
      <c r="AJ45" s="8"/>
      <c r="AO45" s="8"/>
    </row>
    <row r="46" spans="1:41" s="5" customFormat="1">
      <c r="A46" s="138"/>
      <c r="B46" s="306"/>
      <c r="C46" s="306"/>
      <c r="D46" s="306"/>
      <c r="E46" s="138"/>
      <c r="Y46" s="8"/>
      <c r="AD46" s="8"/>
      <c r="AJ46" s="8"/>
      <c r="AO46" s="8"/>
    </row>
    <row r="47" spans="1:41" s="5" customFormat="1">
      <c r="A47" s="210" t="s">
        <v>473</v>
      </c>
      <c r="B47" s="306"/>
      <c r="C47" s="306"/>
      <c r="D47" s="306"/>
      <c r="E47" s="138"/>
      <c r="Y47" s="8"/>
      <c r="AD47" s="8"/>
      <c r="AJ47" s="8"/>
      <c r="AO47" s="8"/>
    </row>
    <row r="48" spans="1:41" s="5" customFormat="1">
      <c r="A48" s="248" t="s">
        <v>436</v>
      </c>
      <c r="B48" s="163"/>
      <c r="C48" s="163" t="s">
        <v>191</v>
      </c>
      <c r="D48" s="163" t="s">
        <v>193</v>
      </c>
      <c r="E48" s="249" t="s">
        <v>274</v>
      </c>
      <c r="F48" s="250" t="s">
        <v>112</v>
      </c>
      <c r="Y48" s="8"/>
      <c r="AD48" s="8"/>
      <c r="AJ48" s="8"/>
      <c r="AO48" s="8"/>
    </row>
    <row r="49" spans="1:41" s="5" customFormat="1">
      <c r="A49" s="566" t="s">
        <v>134</v>
      </c>
      <c r="B49" s="567"/>
      <c r="C49" s="567">
        <f>B45-C45</f>
        <v>1332744.1687063021</v>
      </c>
      <c r="D49" s="567">
        <f>B45-D45</f>
        <v>1831192.0951091452</v>
      </c>
      <c r="E49" s="152"/>
      <c r="F49" s="153" t="s">
        <v>430</v>
      </c>
      <c r="Y49" s="8"/>
      <c r="AD49" s="8"/>
      <c r="AJ49" s="8"/>
      <c r="AO49" s="8"/>
    </row>
    <row r="50" spans="1:41" s="5" customFormat="1">
      <c r="A50" s="168" t="s">
        <v>414</v>
      </c>
      <c r="B50" s="309"/>
      <c r="C50" s="311">
        <f>(C29+C30)*0.25</f>
        <v>138455.36803028767</v>
      </c>
      <c r="D50" s="311">
        <f>(D29+D30)*0.5</f>
        <v>121489.93882377054</v>
      </c>
      <c r="E50" s="125"/>
      <c r="F50" s="141"/>
      <c r="Y50" s="8"/>
      <c r="AD50" s="8"/>
      <c r="AJ50" s="8"/>
      <c r="AO50" s="8"/>
    </row>
    <row r="51" spans="1:41" s="5" customFormat="1">
      <c r="A51" s="322" t="s">
        <v>423</v>
      </c>
      <c r="B51" s="323"/>
      <c r="C51" s="324">
        <f>(C33+C34)*0.25</f>
        <v>117571.73797302134</v>
      </c>
      <c r="D51" s="324">
        <f>(D33+D34)*0.5</f>
        <v>223053.62828317599</v>
      </c>
      <c r="E51" s="325"/>
      <c r="F51" s="314"/>
      <c r="Y51" s="8"/>
      <c r="AD51" s="8"/>
      <c r="AJ51" s="8"/>
      <c r="AO51" s="8"/>
    </row>
    <row r="52" spans="1:41" s="5" customFormat="1">
      <c r="A52" s="251" t="s">
        <v>431</v>
      </c>
      <c r="B52" s="309" t="s">
        <v>1</v>
      </c>
      <c r="C52" s="310">
        <f>SUM(C50:C51)</f>
        <v>256027.10600330902</v>
      </c>
      <c r="D52" s="310">
        <f>SUM(D50:D51)</f>
        <v>344543.56710694655</v>
      </c>
      <c r="E52" s="125" t="s">
        <v>425</v>
      </c>
      <c r="F52" s="141"/>
      <c r="Y52" s="8"/>
      <c r="AD52" s="8"/>
      <c r="AJ52" s="8"/>
      <c r="AO52" s="8"/>
    </row>
    <row r="53" spans="1:41" s="5" customFormat="1">
      <c r="A53" s="168" t="s">
        <v>415</v>
      </c>
      <c r="B53" s="309"/>
      <c r="C53" s="169">
        <f>C31*0.25</f>
        <v>153127.62046930962</v>
      </c>
      <c r="D53" s="169">
        <f>D31*0.5</f>
        <v>139515.062510738</v>
      </c>
      <c r="E53" s="125"/>
      <c r="F53" s="141"/>
      <c r="Y53" s="8"/>
      <c r="AD53" s="8"/>
      <c r="AJ53" s="8"/>
      <c r="AO53" s="8"/>
    </row>
    <row r="54" spans="1:41" s="5" customFormat="1">
      <c r="A54" s="322" t="s">
        <v>416</v>
      </c>
      <c r="B54" s="323"/>
      <c r="C54" s="326">
        <f>C35*0.25</f>
        <v>80943.262045539086</v>
      </c>
      <c r="D54" s="326">
        <f>D35*0.5</f>
        <v>160131.13974771035</v>
      </c>
      <c r="E54" s="325"/>
      <c r="F54" s="314"/>
      <c r="Y54" s="8"/>
      <c r="AD54" s="8"/>
      <c r="AJ54" s="8"/>
      <c r="AO54" s="8"/>
    </row>
    <row r="55" spans="1:41" s="5" customFormat="1">
      <c r="A55" s="251" t="s">
        <v>432</v>
      </c>
      <c r="B55" s="244" t="s">
        <v>1</v>
      </c>
      <c r="C55" s="310">
        <f>SUM(C53:C54)</f>
        <v>234070.88251484872</v>
      </c>
      <c r="D55" s="310">
        <f>SUM(D53:D54)</f>
        <v>299646.20225844835</v>
      </c>
      <c r="E55" s="125" t="s">
        <v>425</v>
      </c>
      <c r="F55" s="141"/>
      <c r="Y55" s="8"/>
      <c r="AD55" s="8"/>
      <c r="AJ55" s="8"/>
      <c r="AO55" s="8"/>
    </row>
    <row r="56" spans="1:41" s="5" customFormat="1">
      <c r="A56" s="168" t="s">
        <v>427</v>
      </c>
      <c r="B56" s="244"/>
      <c r="C56" s="311">
        <f>(C40)*0.25</f>
        <v>36859.106694286063</v>
      </c>
      <c r="D56" s="311">
        <f>(D40)*0.5</f>
        <v>89289.436594953717</v>
      </c>
      <c r="E56" s="138"/>
      <c r="F56" s="141"/>
      <c r="Y56" s="8"/>
      <c r="AD56" s="8"/>
      <c r="AJ56" s="8"/>
      <c r="AO56" s="8"/>
    </row>
    <row r="57" spans="1:41" s="134" customFormat="1">
      <c r="A57" s="322" t="s">
        <v>428</v>
      </c>
      <c r="B57" s="327"/>
      <c r="C57" s="324">
        <f>(C41+C42)*0.25</f>
        <v>14184.634605934876</v>
      </c>
      <c r="D57" s="324">
        <f>(D41+D42)*0.5</f>
        <v>72762.250570525634</v>
      </c>
      <c r="E57" s="325"/>
      <c r="F57" s="314"/>
      <c r="Y57" s="328"/>
      <c r="AD57" s="328"/>
      <c r="AJ57" s="328"/>
      <c r="AO57" s="328"/>
    </row>
    <row r="58" spans="1:41" s="134" customFormat="1">
      <c r="A58" s="322" t="s">
        <v>429</v>
      </c>
      <c r="B58" s="327"/>
      <c r="C58" s="324">
        <f>C43*0.25</f>
        <v>8661.1944960246583</v>
      </c>
      <c r="D58" s="324">
        <f>D43*0.5</f>
        <v>44140.428896511148</v>
      </c>
      <c r="E58" s="325"/>
      <c r="F58" s="314"/>
      <c r="Y58" s="328"/>
      <c r="AD58" s="328"/>
      <c r="AJ58" s="328"/>
      <c r="AO58" s="328"/>
    </row>
    <row r="59" spans="1:41" s="5" customFormat="1">
      <c r="A59" s="251" t="s">
        <v>426</v>
      </c>
      <c r="B59" s="244" t="s">
        <v>1</v>
      </c>
      <c r="C59" s="310">
        <f>SUM(C56:C58)</f>
        <v>59704.935796245598</v>
      </c>
      <c r="D59" s="310">
        <f>SUM(D56:D58)</f>
        <v>206192.1160619905</v>
      </c>
      <c r="E59" s="125" t="s">
        <v>454</v>
      </c>
      <c r="F59" s="141"/>
      <c r="Y59" s="8"/>
      <c r="AD59" s="8"/>
      <c r="AJ59" s="8"/>
      <c r="AO59" s="8"/>
    </row>
    <row r="60" spans="1:41" s="5" customFormat="1">
      <c r="A60" s="251" t="s">
        <v>417</v>
      </c>
      <c r="B60" s="244"/>
      <c r="C60" s="244">
        <f>(C32+C40-(C50+C53+C56))*1</f>
        <v>985326.28558164998</v>
      </c>
      <c r="D60" s="244">
        <f>(D32+D40-(D50+D53+D56))*1</f>
        <v>350294.43792946223</v>
      </c>
      <c r="E60" s="210" t="s">
        <v>418</v>
      </c>
      <c r="F60" s="141"/>
      <c r="Y60" s="8"/>
      <c r="AD60" s="8"/>
      <c r="AJ60" s="8"/>
      <c r="AO60" s="8"/>
    </row>
    <row r="61" spans="1:41" s="5" customFormat="1">
      <c r="A61" s="322" t="s">
        <v>437</v>
      </c>
      <c r="B61" s="326"/>
      <c r="C61" s="326">
        <f>(C33+C34-C51)*0.15</f>
        <v>52907.282087859603</v>
      </c>
      <c r="D61" s="326">
        <f>(D33+D34-D51)*0.3</f>
        <v>66916.088484952794</v>
      </c>
      <c r="E61" s="329"/>
      <c r="F61" s="330"/>
      <c r="Y61" s="8"/>
      <c r="AD61" s="8"/>
      <c r="AJ61" s="8"/>
      <c r="AO61" s="8"/>
    </row>
    <row r="62" spans="1:41" s="5" customFormat="1">
      <c r="A62" s="322" t="s">
        <v>438</v>
      </c>
      <c r="B62" s="326"/>
      <c r="C62" s="326">
        <f>(C35-C54)*0.15</f>
        <v>36424.467920492585</v>
      </c>
      <c r="D62" s="326">
        <f>(D35-D54)*0.3</f>
        <v>48039.341924313099</v>
      </c>
      <c r="E62" s="329"/>
      <c r="F62" s="330"/>
      <c r="Y62" s="8"/>
      <c r="AD62" s="8"/>
      <c r="AJ62" s="8"/>
      <c r="AO62" s="8"/>
    </row>
    <row r="63" spans="1:41" s="5" customFormat="1">
      <c r="A63" s="322" t="s">
        <v>439</v>
      </c>
      <c r="B63" s="326"/>
      <c r="C63" s="326">
        <f>(C41+C42-C57)*0.15</f>
        <v>6383.085572670695</v>
      </c>
      <c r="D63" s="326">
        <f>(D41+D42-D57)*0.3</f>
        <v>21828.675171157691</v>
      </c>
      <c r="E63" s="329"/>
      <c r="F63" s="330"/>
      <c r="K63" s="74"/>
      <c r="L63" s="128"/>
      <c r="Y63" s="8"/>
      <c r="AD63" s="8"/>
      <c r="AJ63" s="8"/>
      <c r="AO63" s="8"/>
    </row>
    <row r="64" spans="1:41" s="5" customFormat="1">
      <c r="A64" s="322" t="s">
        <v>440</v>
      </c>
      <c r="B64" s="326"/>
      <c r="C64" s="326">
        <f>(C43-C58)*0.15</f>
        <v>3897.537523211096</v>
      </c>
      <c r="D64" s="326">
        <f>(D43-D58)*0.3</f>
        <v>13242.128668953344</v>
      </c>
      <c r="E64" s="329"/>
      <c r="F64" s="330"/>
      <c r="Y64" s="8"/>
      <c r="AD64" s="8"/>
      <c r="AJ64" s="8"/>
      <c r="AO64" s="8"/>
    </row>
    <row r="65" spans="1:41" s="5" customFormat="1">
      <c r="A65" s="316" t="s">
        <v>139</v>
      </c>
      <c r="B65" s="327" t="s">
        <v>1</v>
      </c>
      <c r="C65" s="327">
        <f>SUM(C61:C64)</f>
        <v>99612.373104233979</v>
      </c>
      <c r="D65" s="327">
        <f>SUM(D61:D64)</f>
        <v>150026.23424937692</v>
      </c>
      <c r="E65" s="325" t="s">
        <v>419</v>
      </c>
      <c r="F65" s="314"/>
      <c r="Y65" s="8"/>
      <c r="AD65" s="8"/>
      <c r="AJ65" s="8"/>
      <c r="AO65" s="8"/>
    </row>
    <row r="66" spans="1:41" s="5" customFormat="1">
      <c r="A66" s="316" t="s">
        <v>420</v>
      </c>
      <c r="B66" s="327"/>
      <c r="C66" s="327">
        <f>(C33+C34-C51)*0.1</f>
        <v>35271.521391906404</v>
      </c>
      <c r="D66" s="327">
        <f>(D33+D34-D51-D61)*1</f>
        <v>156137.53979822318</v>
      </c>
      <c r="E66" s="325" t="s">
        <v>424</v>
      </c>
      <c r="F66" s="314"/>
      <c r="Y66" s="8"/>
      <c r="AD66" s="8"/>
      <c r="AJ66" s="8"/>
      <c r="AO66" s="8"/>
    </row>
    <row r="67" spans="1:41" s="5" customFormat="1">
      <c r="A67" s="316" t="s">
        <v>421</v>
      </c>
      <c r="B67" s="327"/>
      <c r="C67" s="327">
        <f>(C35-C54)*0.1</f>
        <v>24282.978613661726</v>
      </c>
      <c r="D67" s="327">
        <f>(D35-D54-D62)*1</f>
        <v>112091.79782339724</v>
      </c>
      <c r="E67" s="325" t="s">
        <v>424</v>
      </c>
      <c r="F67" s="314"/>
      <c r="Y67" s="8"/>
      <c r="AD67" s="8"/>
      <c r="AJ67" s="8"/>
      <c r="AO67" s="8"/>
    </row>
    <row r="68" spans="1:41" s="5" customFormat="1">
      <c r="A68" s="316" t="s">
        <v>433</v>
      </c>
      <c r="B68" s="327"/>
      <c r="C68" s="327">
        <f>(C41+C42-C57)*1</f>
        <v>42553.903817804632</v>
      </c>
      <c r="D68" s="327">
        <f>(D41+D42-D57-D63)*1</f>
        <v>50933.575399367939</v>
      </c>
      <c r="E68" s="325" t="s">
        <v>441</v>
      </c>
      <c r="F68" s="314"/>
      <c r="Y68" s="8"/>
      <c r="AD68" s="8"/>
      <c r="AJ68" s="8"/>
      <c r="AO68" s="8"/>
    </row>
    <row r="69" spans="1:41" s="5" customFormat="1">
      <c r="A69" s="316" t="s">
        <v>434</v>
      </c>
      <c r="B69" s="327"/>
      <c r="C69" s="327">
        <f>(C43-C58)*1</f>
        <v>25983.583488073975</v>
      </c>
      <c r="D69" s="327">
        <f>(D43-D58-D64)*1</f>
        <v>30898.300227557804</v>
      </c>
      <c r="E69" s="325" t="s">
        <v>441</v>
      </c>
      <c r="F69" s="314"/>
      <c r="Y69" s="8"/>
      <c r="AD69" s="8"/>
      <c r="AJ69" s="8"/>
      <c r="AO69" s="8"/>
    </row>
    <row r="70" spans="1:41" s="5" customFormat="1">
      <c r="A70" s="170" t="s">
        <v>422</v>
      </c>
      <c r="B70" s="568"/>
      <c r="C70" s="568">
        <f>C49+C52+C55+C56+C57+C58+C60+C65+C66+C67+C68+C69</f>
        <v>3095577.7390180361</v>
      </c>
      <c r="D70" s="568">
        <f>D49+D52+D55+D56+D57+D58+D60+D65+D66+D67+D68+D69</f>
        <v>3531955.8659639158</v>
      </c>
      <c r="E70" s="569"/>
      <c r="F70" s="157"/>
      <c r="Y70" s="8"/>
      <c r="AD70" s="8"/>
      <c r="AJ70" s="8"/>
      <c r="AO70" s="8"/>
    </row>
    <row r="71" spans="1:41">
      <c r="A71" s="210"/>
      <c r="B71" s="213"/>
      <c r="C71" s="210"/>
      <c r="D71" s="135"/>
      <c r="E71" s="135"/>
      <c r="F71" s="79"/>
      <c r="G71" s="221"/>
      <c r="H71" s="222"/>
      <c r="I71" s="221"/>
      <c r="J71" s="223"/>
      <c r="K71" s="221"/>
      <c r="L71" s="221"/>
      <c r="M71" s="222"/>
      <c r="N71" s="221"/>
      <c r="O71" s="223"/>
      <c r="P71" s="221"/>
      <c r="Q71" s="79"/>
      <c r="R71" s="79"/>
      <c r="S71" s="79"/>
      <c r="T71" s="79"/>
      <c r="U71" s="79"/>
      <c r="V71" s="79"/>
      <c r="X71" s="2"/>
      <c r="Y71"/>
      <c r="AC71" s="2"/>
      <c r="AD71"/>
      <c r="AI71" s="2"/>
      <c r="AJ71"/>
      <c r="AN71" s="2"/>
      <c r="AO71"/>
    </row>
    <row r="72" spans="1:41" ht="47.25">
      <c r="A72" s="211"/>
      <c r="B72" s="162" t="s">
        <v>191</v>
      </c>
      <c r="C72" s="164" t="s">
        <v>197</v>
      </c>
      <c r="D72" s="135"/>
      <c r="E72" s="135"/>
      <c r="F72" s="79"/>
      <c r="G72" s="224"/>
      <c r="H72" s="225"/>
      <c r="I72" s="224"/>
      <c r="J72" s="224"/>
      <c r="K72" s="224"/>
      <c r="L72" s="224"/>
      <c r="M72" s="225"/>
      <c r="N72" s="224"/>
      <c r="O72" s="224"/>
      <c r="P72" s="224"/>
      <c r="Q72" s="79"/>
      <c r="R72" s="79"/>
      <c r="S72" s="79"/>
      <c r="T72" s="79"/>
      <c r="U72" s="79"/>
      <c r="V72" s="79"/>
      <c r="X72" s="2"/>
      <c r="Y72"/>
      <c r="AC72" s="2"/>
      <c r="AD72"/>
      <c r="AI72" s="2"/>
      <c r="AJ72"/>
      <c r="AN72" s="2"/>
      <c r="AO72"/>
    </row>
    <row r="73" spans="1:41">
      <c r="A73" s="214" t="s">
        <v>207</v>
      </c>
      <c r="B73" s="215"/>
      <c r="C73" s="216">
        <v>85430.352938958837</v>
      </c>
      <c r="D73" s="135"/>
      <c r="E73" s="135"/>
      <c r="F73" s="79"/>
      <c r="G73" s="221"/>
      <c r="H73" s="226"/>
      <c r="I73" s="227"/>
      <c r="J73" s="221"/>
      <c r="K73" s="221"/>
      <c r="L73" s="221"/>
      <c r="M73" s="226"/>
      <c r="N73" s="227"/>
      <c r="O73" s="221"/>
      <c r="P73" s="226"/>
      <c r="Q73" s="79"/>
      <c r="R73" s="79"/>
      <c r="S73" s="79"/>
      <c r="T73" s="79"/>
      <c r="U73" s="79"/>
      <c r="V73" s="79"/>
      <c r="X73" s="2"/>
      <c r="Y73"/>
      <c r="AC73" s="2"/>
      <c r="AD73"/>
      <c r="AI73" s="2"/>
      <c r="AJ73"/>
      <c r="AN73" s="2"/>
      <c r="AO73"/>
    </row>
    <row r="74" spans="1:41">
      <c r="A74" s="245" t="s">
        <v>208</v>
      </c>
      <c r="B74" s="246"/>
      <c r="C74" s="247">
        <v>116186.36031731877</v>
      </c>
      <c r="D74" s="135"/>
      <c r="E74" s="135"/>
      <c r="F74" s="79"/>
      <c r="G74" s="221"/>
      <c r="H74" s="226"/>
      <c r="I74" s="229"/>
      <c r="J74" s="230"/>
      <c r="K74" s="221"/>
      <c r="L74" s="221"/>
      <c r="M74" s="226"/>
      <c r="N74" s="229"/>
      <c r="O74" s="230"/>
      <c r="P74" s="226"/>
      <c r="Q74" s="79"/>
      <c r="R74" s="79"/>
      <c r="S74" s="79"/>
      <c r="T74" s="79"/>
      <c r="U74" s="79"/>
      <c r="V74" s="79"/>
      <c r="X74" s="2"/>
      <c r="Y74"/>
      <c r="AC74" s="2"/>
      <c r="AD74"/>
      <c r="AI74" s="2"/>
      <c r="AJ74"/>
      <c r="AN74" s="2"/>
      <c r="AO74"/>
    </row>
    <row r="75" spans="1:41">
      <c r="B75" s="2"/>
      <c r="D75" s="2"/>
      <c r="E75" s="2"/>
      <c r="F75" s="241"/>
      <c r="G75" s="233"/>
      <c r="H75" s="222"/>
      <c r="I75" s="234"/>
      <c r="J75" s="235"/>
      <c r="K75" s="238"/>
      <c r="L75" s="233"/>
      <c r="M75" s="222"/>
      <c r="N75" s="234"/>
      <c r="O75" s="235"/>
      <c r="P75" s="222"/>
      <c r="Q75" s="79"/>
      <c r="R75" s="79"/>
      <c r="S75" s="79"/>
      <c r="T75" s="79"/>
      <c r="U75" s="79"/>
      <c r="V75" s="79"/>
      <c r="X75" s="2"/>
      <c r="Y75"/>
      <c r="AC75" s="2"/>
      <c r="AD75"/>
      <c r="AI75" s="2"/>
      <c r="AJ75"/>
      <c r="AN75" s="2"/>
      <c r="AO75"/>
    </row>
    <row r="76" spans="1:41">
      <c r="A76" t="s">
        <v>528</v>
      </c>
      <c r="B76" s="2"/>
      <c r="D76" s="2"/>
      <c r="E76" s="2"/>
      <c r="F76" s="241"/>
      <c r="G76" s="233"/>
      <c r="H76" s="222"/>
      <c r="I76" s="234"/>
      <c r="J76" s="235"/>
      <c r="K76" s="238"/>
      <c r="L76" s="233"/>
      <c r="M76" s="222"/>
      <c r="N76" s="234"/>
      <c r="O76" s="235"/>
      <c r="P76" s="222"/>
      <c r="Q76" s="79"/>
      <c r="R76" s="79"/>
      <c r="S76" s="79"/>
      <c r="T76" s="79"/>
      <c r="U76" s="79"/>
      <c r="V76" s="79"/>
      <c r="X76" s="2"/>
      <c r="Y76"/>
      <c r="AC76" s="2"/>
      <c r="AD76"/>
      <c r="AI76" s="2"/>
      <c r="AJ76"/>
      <c r="AN76" s="2"/>
      <c r="AO76"/>
    </row>
    <row r="77" spans="1:41" ht="47.25">
      <c r="A77" s="162" t="s">
        <v>327</v>
      </c>
      <c r="B77" s="163" t="s">
        <v>191</v>
      </c>
      <c r="C77" s="163" t="s">
        <v>192</v>
      </c>
      <c r="D77" s="164" t="s">
        <v>197</v>
      </c>
      <c r="E77" s="212"/>
      <c r="F77" s="210"/>
      <c r="G77" s="231"/>
      <c r="H77" s="222"/>
      <c r="I77" s="234"/>
      <c r="J77" s="235"/>
      <c r="K77" s="238"/>
      <c r="L77" s="231"/>
      <c r="M77" s="222"/>
      <c r="N77" s="234"/>
      <c r="O77" s="235"/>
      <c r="P77" s="222"/>
      <c r="X77" s="2"/>
      <c r="Y77"/>
      <c r="AC77" s="2"/>
      <c r="AD77"/>
      <c r="AI77" s="2"/>
      <c r="AJ77"/>
      <c r="AN77" s="2"/>
      <c r="AO77"/>
    </row>
    <row r="78" spans="1:41">
      <c r="A78" s="151" t="s">
        <v>177</v>
      </c>
      <c r="B78" s="171">
        <f>C49*$B$24</f>
        <v>1457122.6100934683</v>
      </c>
      <c r="C78" s="173">
        <f t="shared" ref="C78:C85" si="3">D78-B78</f>
        <v>544965.61348365038</v>
      </c>
      <c r="D78" s="172">
        <f>D49*$B$24</f>
        <v>2002088.2235771187</v>
      </c>
      <c r="E78" s="638"/>
      <c r="F78" s="210"/>
      <c r="G78" s="231"/>
      <c r="H78" s="222"/>
      <c r="I78" s="234"/>
      <c r="J78" s="235"/>
      <c r="K78" s="238"/>
      <c r="L78" s="231"/>
      <c r="M78" s="222"/>
      <c r="N78" s="234"/>
      <c r="O78" s="235"/>
      <c r="P78" s="222"/>
      <c r="X78" s="2"/>
      <c r="Y78"/>
      <c r="AC78" s="2"/>
      <c r="AD78"/>
      <c r="AI78" s="2"/>
      <c r="AJ78"/>
      <c r="AN78" s="2"/>
      <c r="AO78"/>
    </row>
    <row r="79" spans="1:41">
      <c r="A79" s="140" t="s">
        <v>273</v>
      </c>
      <c r="B79" s="173">
        <f>C52*$B$24</f>
        <v>279920.85331452003</v>
      </c>
      <c r="C79" s="173">
        <f t="shared" si="3"/>
        <v>96777.265936019714</v>
      </c>
      <c r="D79" s="174">
        <f>D52*$B$24</f>
        <v>376698.11925053975</v>
      </c>
      <c r="E79" s="638"/>
      <c r="F79" s="210"/>
      <c r="G79" s="231"/>
      <c r="H79" s="222"/>
      <c r="I79" s="234"/>
      <c r="J79" s="235"/>
      <c r="K79" s="238"/>
      <c r="L79" s="231"/>
      <c r="M79" s="222"/>
      <c r="N79" s="234"/>
      <c r="O79" s="235"/>
      <c r="P79" s="222"/>
      <c r="X79" s="2"/>
      <c r="Y79"/>
      <c r="AC79" s="2"/>
      <c r="AD79"/>
      <c r="AI79" s="2"/>
      <c r="AJ79"/>
      <c r="AN79" s="2"/>
      <c r="AO79"/>
    </row>
    <row r="80" spans="1:41">
      <c r="A80" s="140" t="s">
        <v>250</v>
      </c>
      <c r="B80" s="173">
        <f>C55*$B$24</f>
        <v>255915.56375594228</v>
      </c>
      <c r="C80" s="173">
        <f t="shared" si="3"/>
        <v>71695.140977626259</v>
      </c>
      <c r="D80" s="174">
        <f>D55*$B$24</f>
        <v>327610.70473356853</v>
      </c>
      <c r="E80" s="213"/>
      <c r="F80" s="210"/>
      <c r="G80" s="233"/>
      <c r="H80" s="222"/>
      <c r="I80" s="234"/>
      <c r="J80" s="235"/>
      <c r="K80" s="238"/>
      <c r="L80" s="233"/>
      <c r="M80" s="222"/>
      <c r="N80" s="234"/>
      <c r="O80" s="235"/>
      <c r="P80" s="222"/>
      <c r="X80" s="2"/>
      <c r="Y80"/>
      <c r="AC80" s="2"/>
      <c r="AD80"/>
      <c r="AI80" s="2"/>
      <c r="AJ80"/>
      <c r="AN80" s="2"/>
      <c r="AO80"/>
    </row>
    <row r="81" spans="1:41">
      <c r="A81" s="140" t="s">
        <v>210</v>
      </c>
      <c r="B81" s="173">
        <f>C60*$B$24</f>
        <v>1077281.9290847946</v>
      </c>
      <c r="C81" s="173">
        <f t="shared" si="3"/>
        <v>-694296.23859592131</v>
      </c>
      <c r="D81" s="174">
        <f>D60*$B$24</f>
        <v>382985.69048887322</v>
      </c>
      <c r="E81" s="213"/>
      <c r="F81" s="210"/>
      <c r="G81" s="231"/>
      <c r="H81" s="226"/>
      <c r="I81" s="232"/>
      <c r="J81" s="230"/>
      <c r="K81" s="240"/>
      <c r="L81" s="231"/>
      <c r="M81" s="226"/>
      <c r="N81" s="232"/>
      <c r="O81" s="230"/>
      <c r="P81" s="226"/>
      <c r="X81" s="2"/>
      <c r="Y81"/>
      <c r="AC81" s="2"/>
      <c r="AD81"/>
      <c r="AI81" s="2"/>
      <c r="AJ81"/>
      <c r="AN81" s="2"/>
      <c r="AO81"/>
    </row>
    <row r="82" spans="1:41">
      <c r="A82" s="140" t="s">
        <v>139</v>
      </c>
      <c r="B82" s="173">
        <f>B99</f>
        <v>108908.70468871815</v>
      </c>
      <c r="C82" s="173">
        <f t="shared" ref="C82" si="4">C99</f>
        <v>55118.738210655531</v>
      </c>
      <c r="D82" s="174">
        <f>D99</f>
        <v>164027.44289937368</v>
      </c>
      <c r="E82" s="213"/>
      <c r="F82" s="210"/>
      <c r="G82" s="231"/>
      <c r="H82" s="226"/>
      <c r="I82" s="232"/>
      <c r="J82" s="230"/>
      <c r="K82" s="240"/>
      <c r="L82" s="231"/>
      <c r="M82" s="226"/>
      <c r="N82" s="232"/>
      <c r="O82" s="230"/>
      <c r="P82" s="226"/>
      <c r="W82" s="112"/>
      <c r="X82" s="166"/>
      <c r="Y82" s="77"/>
      <c r="Z82" s="77"/>
      <c r="AA82" s="77"/>
      <c r="AB82" s="112"/>
      <c r="AC82" s="166"/>
      <c r="AD82" s="77"/>
      <c r="AE82" s="77"/>
      <c r="AF82" s="77"/>
      <c r="AI82" s="2"/>
      <c r="AJ82"/>
      <c r="AN82" s="2"/>
      <c r="AO82"/>
    </row>
    <row r="83" spans="1:41">
      <c r="A83" s="140" t="s">
        <v>19</v>
      </c>
      <c r="B83" s="173">
        <f>(C66*$B$24)+('2030 Goal Calculation'!P25*0.5)</f>
        <v>67410.108614203113</v>
      </c>
      <c r="C83" s="173">
        <f t="shared" si="3"/>
        <v>160992.71796100884</v>
      </c>
      <c r="D83" s="174">
        <f>(D66*$B$24)+('2030 Goal Calculation'!P25)</f>
        <v>228402.82657521195</v>
      </c>
      <c r="E83" s="213"/>
      <c r="F83" s="210"/>
      <c r="G83" s="231"/>
      <c r="H83" s="226"/>
      <c r="I83" s="232"/>
      <c r="J83" s="230"/>
      <c r="K83" s="240"/>
      <c r="L83" s="231"/>
      <c r="M83" s="226"/>
      <c r="N83" s="232"/>
      <c r="O83" s="230"/>
      <c r="P83" s="226"/>
      <c r="W83" s="221"/>
      <c r="X83" s="222"/>
      <c r="Y83" s="223"/>
      <c r="Z83" s="223"/>
      <c r="AA83" s="223"/>
      <c r="AB83" s="221"/>
      <c r="AC83" s="222"/>
      <c r="AD83" s="223"/>
      <c r="AE83" s="223"/>
      <c r="AF83" s="223"/>
      <c r="AI83" s="2"/>
      <c r="AJ83"/>
      <c r="AN83" s="2"/>
      <c r="AO83"/>
    </row>
    <row r="84" spans="1:41">
      <c r="A84" s="140" t="s">
        <v>208</v>
      </c>
      <c r="B84" s="173">
        <f>(C67*$B$24)+('2030 Goal Calculation'!P26*0.5)</f>
        <v>97969.509019637539</v>
      </c>
      <c r="C84" s="173">
        <f t="shared" si="3"/>
        <v>167423.90306706051</v>
      </c>
      <c r="D84" s="174">
        <f>(D67*$B$24)+('2030 Goal Calculation'!P26)</f>
        <v>265393.41208669805</v>
      </c>
      <c r="E84" s="213"/>
      <c r="F84" s="210"/>
      <c r="G84" s="231"/>
      <c r="H84" s="226"/>
      <c r="I84" s="232"/>
      <c r="J84" s="230"/>
      <c r="K84" s="240"/>
      <c r="L84" s="231"/>
      <c r="M84" s="226"/>
      <c r="N84" s="232"/>
      <c r="O84" s="230"/>
      <c r="P84" s="226"/>
      <c r="S84" s="256"/>
      <c r="T84" s="148"/>
      <c r="W84" s="221"/>
      <c r="X84" s="222"/>
      <c r="Y84" s="221"/>
      <c r="Z84" s="223"/>
      <c r="AA84" s="223"/>
      <c r="AB84" s="221"/>
      <c r="AC84" s="222"/>
      <c r="AD84" s="221"/>
      <c r="AE84" s="223"/>
      <c r="AF84" s="223"/>
      <c r="AI84" s="2"/>
      <c r="AJ84"/>
      <c r="AN84" s="2"/>
      <c r="AO84"/>
    </row>
    <row r="85" spans="1:41">
      <c r="A85" s="140" t="s">
        <v>442</v>
      </c>
      <c r="B85" s="173">
        <f>C59*$B$24</f>
        <v>65276.903043842933</v>
      </c>
      <c r="C85" s="173">
        <f t="shared" si="3"/>
        <v>160158.10645883434</v>
      </c>
      <c r="D85" s="174">
        <f>D59*$B$24</f>
        <v>225435.00950267728</v>
      </c>
      <c r="E85" s="213"/>
      <c r="F85" s="210"/>
      <c r="G85" s="231"/>
      <c r="H85" s="226"/>
      <c r="I85" s="232"/>
      <c r="J85" s="230"/>
      <c r="K85" s="240"/>
      <c r="L85" s="231"/>
      <c r="M85" s="226"/>
      <c r="N85" s="232"/>
      <c r="O85" s="230"/>
      <c r="P85" s="226"/>
      <c r="S85" s="331"/>
      <c r="T85" s="331"/>
      <c r="W85" s="221"/>
      <c r="X85" s="222"/>
      <c r="Y85" s="221"/>
      <c r="Z85" s="223"/>
      <c r="AA85" s="223"/>
      <c r="AB85" s="221"/>
      <c r="AC85" s="222"/>
      <c r="AD85" s="221"/>
      <c r="AE85" s="223"/>
      <c r="AF85" s="223"/>
      <c r="AI85" s="2"/>
      <c r="AJ85"/>
      <c r="AN85" s="2"/>
      <c r="AO85"/>
    </row>
    <row r="86" spans="1:41">
      <c r="A86" s="140" t="s">
        <v>443</v>
      </c>
      <c r="B86" s="173">
        <f>(C67+C68)*$B$24</f>
        <v>73074.439090275511</v>
      </c>
      <c r="C86" s="173">
        <f t="shared" ref="C86:C91" si="5">D86-B86</f>
        <v>16394.401968767168</v>
      </c>
      <c r="D86" s="174">
        <f>(D68+D69)*$B$24</f>
        <v>89468.841059042679</v>
      </c>
      <c r="E86" s="213"/>
      <c r="F86" s="210"/>
      <c r="G86" s="231"/>
      <c r="H86" s="226"/>
      <c r="I86" s="232"/>
      <c r="J86" s="230"/>
      <c r="K86" s="240"/>
      <c r="L86" s="231"/>
      <c r="M86" s="226"/>
      <c r="N86" s="232"/>
      <c r="O86" s="230"/>
      <c r="P86" s="226"/>
      <c r="S86" s="331"/>
      <c r="T86" s="331"/>
      <c r="W86" s="221"/>
      <c r="X86" s="222"/>
      <c r="Y86" s="221"/>
      <c r="Z86" s="223"/>
      <c r="AA86" s="223"/>
      <c r="AB86" s="221"/>
      <c r="AC86" s="222"/>
      <c r="AD86" s="221"/>
      <c r="AE86" s="223"/>
      <c r="AF86" s="223"/>
      <c r="AI86" s="2"/>
      <c r="AJ86"/>
      <c r="AN86" s="2"/>
      <c r="AO86"/>
    </row>
    <row r="87" spans="1:41">
      <c r="A87" s="140" t="s">
        <v>211</v>
      </c>
      <c r="B87" s="173">
        <f>SUM(B78:B86)</f>
        <v>3482880.6207054025</v>
      </c>
      <c r="C87" s="173">
        <f t="shared" si="5"/>
        <v>579229.64946770156</v>
      </c>
      <c r="D87" s="174">
        <f>SUM(D78:D86)</f>
        <v>4062110.270173104</v>
      </c>
      <c r="E87" s="213"/>
      <c r="F87" s="210"/>
      <c r="G87" s="231"/>
      <c r="H87" s="222"/>
      <c r="I87" s="234"/>
      <c r="J87" s="235"/>
      <c r="K87" s="238"/>
      <c r="L87" s="231"/>
      <c r="M87" s="222"/>
      <c r="N87" s="234"/>
      <c r="O87" s="235"/>
      <c r="P87" s="222"/>
      <c r="S87" s="5"/>
      <c r="T87" s="5"/>
      <c r="U87" s="5"/>
      <c r="V87" s="3"/>
      <c r="W87" s="224"/>
      <c r="X87" s="225"/>
      <c r="Y87" s="224"/>
      <c r="Z87" s="224"/>
      <c r="AA87" s="224"/>
      <c r="AB87" s="224"/>
      <c r="AC87" s="225"/>
      <c r="AD87" s="224"/>
      <c r="AE87" s="224"/>
      <c r="AF87" s="224"/>
      <c r="AG87" s="148"/>
      <c r="AI87" s="2"/>
      <c r="AJ87"/>
      <c r="AN87" s="2"/>
      <c r="AO87"/>
    </row>
    <row r="88" spans="1:41" s="5" customFormat="1">
      <c r="A88" s="140" t="s">
        <v>212</v>
      </c>
      <c r="B88" s="173">
        <f>C70*$B$24</f>
        <v>3384472.744835705</v>
      </c>
      <c r="C88" s="173">
        <f t="shared" si="5"/>
        <v>477103.14571498474</v>
      </c>
      <c r="D88" s="639">
        <f>D70*$B$24</f>
        <v>3861575.8905506898</v>
      </c>
      <c r="E88" s="213"/>
      <c r="F88" s="239"/>
      <c r="G88" s="231"/>
      <c r="H88" s="222"/>
      <c r="I88" s="234"/>
      <c r="J88" s="235"/>
      <c r="K88" s="238"/>
      <c r="L88" s="231"/>
      <c r="M88" s="222"/>
      <c r="N88" s="234"/>
      <c r="O88" s="235"/>
      <c r="P88" s="222"/>
      <c r="V88" s="3"/>
      <c r="W88" s="221"/>
      <c r="X88" s="226"/>
      <c r="Y88" s="227"/>
      <c r="Z88" s="221"/>
      <c r="AA88" s="221"/>
      <c r="AB88" s="221"/>
      <c r="AC88" s="226"/>
      <c r="AD88" s="227"/>
      <c r="AE88" s="221"/>
      <c r="AF88" s="226"/>
    </row>
    <row r="89" spans="1:41" s="5" customFormat="1">
      <c r="A89" s="167" t="s">
        <v>283</v>
      </c>
      <c r="B89" s="175">
        <f>'Industrial RPS RNG'!AJ7</f>
        <v>319870.99569400155</v>
      </c>
      <c r="C89" s="175">
        <f t="shared" si="5"/>
        <v>110333.22086514288</v>
      </c>
      <c r="D89" s="176">
        <f>'Industrial RPS RNG'!AL7</f>
        <v>430204.21655914444</v>
      </c>
      <c r="E89" s="638"/>
      <c r="F89" s="239"/>
      <c r="G89" s="231"/>
      <c r="H89" s="222"/>
      <c r="I89" s="234"/>
      <c r="J89" s="235"/>
      <c r="K89" s="238"/>
      <c r="L89" s="231"/>
      <c r="M89" s="222"/>
      <c r="N89" s="234"/>
      <c r="O89" s="235"/>
      <c r="P89" s="222"/>
      <c r="V89" s="3"/>
      <c r="W89" s="221"/>
      <c r="X89" s="226"/>
      <c r="Y89" s="229"/>
      <c r="Z89" s="230"/>
      <c r="AA89" s="221"/>
      <c r="AB89" s="221"/>
      <c r="AC89" s="226"/>
      <c r="AD89" s="229"/>
      <c r="AE89" s="230"/>
      <c r="AF89" s="226"/>
    </row>
    <row r="90" spans="1:41" s="5" customFormat="1">
      <c r="A90" s="168" t="s">
        <v>530</v>
      </c>
      <c r="B90" s="177">
        <f>'Industrial RPS RNG'!AJ12-B89</f>
        <v>191695.31331491098</v>
      </c>
      <c r="C90" s="177">
        <f t="shared" si="5"/>
        <v>-23198.987540183356</v>
      </c>
      <c r="D90" s="178">
        <f>'Industrial RPS RNG'!AL12-D89</f>
        <v>168496.32577472762</v>
      </c>
      <c r="E90" s="213"/>
      <c r="F90" s="239"/>
      <c r="G90" s="231"/>
      <c r="H90" s="222"/>
      <c r="I90" s="234"/>
      <c r="J90" s="235"/>
      <c r="K90" s="238"/>
      <c r="L90" s="231"/>
      <c r="M90" s="222"/>
      <c r="N90" s="234"/>
      <c r="O90" s="235"/>
      <c r="P90" s="222"/>
      <c r="S90" s="120"/>
      <c r="T90" s="120"/>
      <c r="U90" s="120"/>
      <c r="W90" s="231"/>
      <c r="X90" s="226"/>
      <c r="Y90" s="232"/>
      <c r="Z90" s="230"/>
      <c r="AA90" s="221"/>
      <c r="AB90" s="231"/>
      <c r="AC90" s="226"/>
      <c r="AD90" s="232"/>
      <c r="AE90" s="230"/>
      <c r="AF90" s="226"/>
    </row>
    <row r="91" spans="1:41" s="120" customFormat="1">
      <c r="A91" s="168" t="s">
        <v>196</v>
      </c>
      <c r="B91" s="177">
        <f>'Industrial RPS RNG'!AJ17</f>
        <v>60407.681772995973</v>
      </c>
      <c r="C91" s="177">
        <f t="shared" si="5"/>
        <v>60407.681772996089</v>
      </c>
      <c r="D91" s="178">
        <f>'Industrial RPS RNG'!AL17</f>
        <v>120815.36354599206</v>
      </c>
      <c r="E91" s="169"/>
      <c r="F91" s="243"/>
      <c r="G91" s="231"/>
      <c r="H91" s="226"/>
      <c r="K91" s="240"/>
      <c r="L91" s="231"/>
      <c r="M91" s="226"/>
      <c r="N91" s="232"/>
      <c r="O91" s="230"/>
      <c r="P91" s="226"/>
      <c r="S91"/>
      <c r="T91"/>
      <c r="U91"/>
      <c r="W91" s="233"/>
      <c r="X91" s="222"/>
      <c r="Y91" s="234"/>
      <c r="Z91" s="235"/>
      <c r="AA91" s="236"/>
      <c r="AB91" s="233"/>
      <c r="AC91" s="222"/>
      <c r="AD91" s="234"/>
      <c r="AE91" s="235"/>
      <c r="AF91" s="222"/>
    </row>
    <row r="92" spans="1:41" s="120" customFormat="1">
      <c r="A92" s="170" t="s">
        <v>490</v>
      </c>
      <c r="B92" s="179">
        <f>('2030 Goal Calculation'!P29)*(10/30)+B91</f>
        <v>251266.42174694693</v>
      </c>
      <c r="C92" s="179">
        <f>('2030 Goal Calculation'!P29)*(20/30)+C91</f>
        <v>442125.161720898</v>
      </c>
      <c r="D92" s="180">
        <f>SUM(B92:C92)</f>
        <v>693391.58346784487</v>
      </c>
      <c r="E92" s="169"/>
      <c r="F92" s="243"/>
      <c r="G92" s="231"/>
      <c r="H92" s="226"/>
      <c r="K92" s="240"/>
      <c r="L92" s="231"/>
      <c r="M92" s="226"/>
      <c r="N92" s="232"/>
      <c r="O92" s="230"/>
      <c r="P92" s="226"/>
      <c r="S92"/>
      <c r="T92"/>
      <c r="U92"/>
      <c r="W92" s="233"/>
      <c r="X92" s="222"/>
      <c r="Y92" s="234"/>
      <c r="Z92" s="235"/>
      <c r="AA92" s="236"/>
      <c r="AB92" s="233"/>
      <c r="AC92" s="222"/>
      <c r="AD92" s="234"/>
      <c r="AE92" s="235"/>
      <c r="AF92" s="222"/>
    </row>
    <row r="93" spans="1:41">
      <c r="A93" s="140" t="s">
        <v>213</v>
      </c>
      <c r="B93" s="169">
        <f>B88+B90+B91</f>
        <v>3636575.7399236122</v>
      </c>
      <c r="C93" s="169">
        <f>C88+C90+C91</f>
        <v>514311.83994779747</v>
      </c>
      <c r="D93" s="217">
        <f>D88+D89+D90+D91+D92</f>
        <v>5274483.3798983991</v>
      </c>
      <c r="E93" s="169"/>
      <c r="F93" s="210"/>
      <c r="G93" s="231"/>
      <c r="H93" s="222"/>
      <c r="I93" s="234"/>
      <c r="J93" s="235"/>
      <c r="K93" s="238"/>
      <c r="L93" s="231"/>
      <c r="M93" s="222"/>
      <c r="N93" s="234"/>
      <c r="O93" s="235"/>
      <c r="P93" s="222"/>
      <c r="W93" s="231"/>
      <c r="X93" s="222"/>
      <c r="Y93" s="234"/>
      <c r="Z93" s="235"/>
      <c r="AA93" s="236"/>
      <c r="AB93" s="231"/>
      <c r="AC93" s="222"/>
      <c r="AD93" s="234"/>
      <c r="AE93" s="235"/>
      <c r="AF93" s="222"/>
      <c r="AI93" s="2"/>
      <c r="AJ93"/>
      <c r="AN93" s="2"/>
      <c r="AO93"/>
    </row>
    <row r="94" spans="1:41">
      <c r="A94" s="242" t="s">
        <v>220</v>
      </c>
      <c r="B94" s="155">
        <f>B78+B89</f>
        <v>1776993.60578747</v>
      </c>
      <c r="C94" s="155">
        <f>C78+C89</f>
        <v>655298.83434879326</v>
      </c>
      <c r="D94" s="158">
        <f>D78+D89</f>
        <v>2432292.4401362631</v>
      </c>
      <c r="E94" s="169"/>
      <c r="F94" s="210"/>
      <c r="G94" s="221"/>
      <c r="H94" s="237"/>
      <c r="I94" s="234"/>
      <c r="J94" s="235"/>
      <c r="K94" s="238"/>
      <c r="L94" s="221"/>
      <c r="M94" s="237"/>
      <c r="N94" s="234"/>
      <c r="O94" s="235"/>
      <c r="P94" s="222"/>
      <c r="W94" s="231"/>
      <c r="X94" s="222"/>
      <c r="Y94" s="234"/>
      <c r="Z94" s="235"/>
      <c r="AA94" s="223"/>
      <c r="AB94" s="231"/>
      <c r="AC94" s="222"/>
      <c r="AD94" s="234"/>
      <c r="AE94" s="235"/>
      <c r="AF94" s="222"/>
      <c r="AI94" s="2"/>
      <c r="AJ94"/>
      <c r="AN94" s="2"/>
      <c r="AO94"/>
    </row>
    <row r="95" spans="1:41" s="5" customFormat="1">
      <c r="A95" s="72" t="s">
        <v>179</v>
      </c>
      <c r="B95"/>
      <c r="C95"/>
      <c r="D95"/>
      <c r="E95" s="3"/>
      <c r="I95" s="239"/>
      <c r="J95" s="239"/>
      <c r="K95" s="239"/>
      <c r="L95" s="239"/>
      <c r="W95" s="231"/>
      <c r="X95" s="226"/>
      <c r="Y95" s="232"/>
      <c r="Z95" s="230"/>
      <c r="AA95" s="221"/>
      <c r="AB95" s="231"/>
      <c r="AC95" s="226"/>
      <c r="AD95" s="232"/>
      <c r="AE95" s="230"/>
      <c r="AF95" s="226"/>
    </row>
    <row r="96" spans="1:41" s="5" customFormat="1">
      <c r="A96" s="5" t="s">
        <v>527</v>
      </c>
      <c r="B96"/>
      <c r="C96"/>
      <c r="D96"/>
      <c r="E96" s="3"/>
      <c r="I96" s="239"/>
      <c r="J96" s="239"/>
      <c r="K96" s="239"/>
      <c r="L96" s="239"/>
      <c r="W96" s="231"/>
      <c r="X96" s="226"/>
      <c r="Y96" s="232"/>
      <c r="Z96" s="230"/>
      <c r="AA96" s="221"/>
      <c r="AB96" s="231"/>
      <c r="AC96" s="226"/>
      <c r="AD96" s="232"/>
      <c r="AE96" s="230"/>
      <c r="AF96" s="226"/>
    </row>
    <row r="97" spans="1:41">
      <c r="A97" t="s">
        <v>498</v>
      </c>
      <c r="B97" s="635">
        <f>'Dashboard - CEW Scenario'!I18</f>
        <v>1</v>
      </c>
      <c r="C97" s="210"/>
      <c r="D97" s="210"/>
      <c r="E97" s="5"/>
      <c r="I97" s="210"/>
      <c r="J97" s="210"/>
      <c r="W97" s="221"/>
      <c r="X97" s="222"/>
      <c r="Y97" s="228"/>
      <c r="Z97" s="235"/>
      <c r="AA97" s="223"/>
      <c r="AB97" s="221"/>
      <c r="AC97" s="222"/>
      <c r="AD97" s="228"/>
      <c r="AE97" s="235"/>
      <c r="AF97" s="222"/>
      <c r="AI97" s="2"/>
      <c r="AJ97"/>
      <c r="AN97" s="2"/>
      <c r="AO97"/>
    </row>
    <row r="98" spans="1:41">
      <c r="A98" t="s">
        <v>499</v>
      </c>
      <c r="B98" s="7">
        <f>'Dashboard - CEW Scenario'!I20</f>
        <v>1</v>
      </c>
      <c r="E98" s="213"/>
      <c r="F98" s="210"/>
      <c r="G98" s="231"/>
      <c r="H98" s="226"/>
      <c r="I98" s="232"/>
      <c r="J98" s="230"/>
      <c r="K98" s="240"/>
      <c r="L98" s="231"/>
      <c r="M98" s="226"/>
      <c r="N98" s="232"/>
      <c r="O98" s="230"/>
      <c r="P98" s="226"/>
      <c r="W98" s="112"/>
      <c r="X98" s="166"/>
      <c r="Y98" s="77"/>
      <c r="Z98" s="77"/>
      <c r="AA98" s="77"/>
      <c r="AB98" s="112"/>
      <c r="AC98" s="166"/>
      <c r="AD98" s="77"/>
      <c r="AE98" s="77"/>
      <c r="AF98" s="77"/>
      <c r="AI98" s="2"/>
      <c r="AJ98"/>
      <c r="AN98" s="2"/>
      <c r="AO98"/>
    </row>
    <row r="99" spans="1:41">
      <c r="A99" s="140" t="s">
        <v>139</v>
      </c>
      <c r="B99" s="636">
        <f>IF(AND(B97=0,B98=0),B101,B100)</f>
        <v>108908.70468871815</v>
      </c>
      <c r="C99" s="636">
        <f>IF(AND(B97=0,B98=0),C101,C100)</f>
        <v>55118.738210655531</v>
      </c>
      <c r="D99" s="636">
        <f>IF(AND(B97=0,B98=0),D101,D100)</f>
        <v>164027.44289937368</v>
      </c>
      <c r="E99" s="213"/>
      <c r="F99" s="210"/>
      <c r="G99" s="231"/>
      <c r="H99" s="226"/>
      <c r="I99" s="232"/>
      <c r="J99" s="230"/>
      <c r="K99" s="240"/>
      <c r="L99" s="231"/>
      <c r="M99" s="226"/>
      <c r="N99" s="232"/>
      <c r="O99" s="230"/>
      <c r="P99" s="226"/>
      <c r="W99" s="112"/>
      <c r="X99" s="166"/>
      <c r="Y99" s="77"/>
      <c r="Z99" s="77"/>
      <c r="AA99" s="77"/>
      <c r="AB99" s="112"/>
      <c r="AC99" s="166"/>
      <c r="AD99" s="77"/>
      <c r="AE99" s="77"/>
      <c r="AF99" s="77"/>
      <c r="AI99" s="2"/>
      <c r="AJ99"/>
      <c r="AN99" s="2"/>
      <c r="AO99"/>
    </row>
    <row r="100" spans="1:41">
      <c r="A100" s="140" t="s">
        <v>496</v>
      </c>
      <c r="B100" s="645">
        <f>(C65*$B$24)</f>
        <v>108908.70468871815</v>
      </c>
      <c r="C100" s="645">
        <f>D100-B100</f>
        <v>55118.738210655531</v>
      </c>
      <c r="D100" s="646">
        <f>(D65*$B$24)</f>
        <v>164027.44289937368</v>
      </c>
      <c r="H100" s="2"/>
      <c r="M100" s="2"/>
      <c r="S100" s="2"/>
      <c r="X100" s="2"/>
      <c r="Y100"/>
      <c r="AD100"/>
      <c r="AJ100"/>
      <c r="AO100"/>
    </row>
    <row r="101" spans="1:41">
      <c r="A101" s="140" t="s">
        <v>497</v>
      </c>
      <c r="B101" s="631">
        <v>132186</v>
      </c>
      <c r="C101" s="645">
        <f>D101-B101</f>
        <v>167866</v>
      </c>
      <c r="D101" s="631">
        <v>300052</v>
      </c>
      <c r="H101" s="2"/>
      <c r="M101" s="2"/>
      <c r="S101" s="2"/>
      <c r="X101" s="2"/>
      <c r="Y101"/>
      <c r="AD101"/>
      <c r="AJ101"/>
      <c r="AO101"/>
    </row>
    <row r="102" spans="1:41">
      <c r="B102" s="2"/>
      <c r="C102" s="2"/>
      <c r="H102" s="2"/>
      <c r="N102" s="2"/>
      <c r="S102" s="2"/>
      <c r="Y102"/>
      <c r="AD102"/>
      <c r="AJ102"/>
      <c r="AO102"/>
    </row>
    <row r="103" spans="1:41">
      <c r="B103" s="2"/>
      <c r="C103" s="2"/>
      <c r="H103" s="2"/>
      <c r="N103" s="2"/>
      <c r="S103" s="2"/>
      <c r="Y103"/>
      <c r="AD103"/>
      <c r="AJ103"/>
      <c r="AO103"/>
    </row>
    <row r="104" spans="1:41">
      <c r="A104" t="s">
        <v>538</v>
      </c>
    </row>
    <row r="105" spans="1:41">
      <c r="A105">
        <v>262470</v>
      </c>
      <c r="B105" t="s">
        <v>539</v>
      </c>
    </row>
    <row r="106" spans="1:41">
      <c r="A106">
        <v>2116121</v>
      </c>
      <c r="B106" t="s">
        <v>540</v>
      </c>
    </row>
    <row r="107" spans="1:41">
      <c r="A107" s="3">
        <f>A105/A106</f>
        <v>0.12403355006637144</v>
      </c>
    </row>
    <row r="108" spans="1:41">
      <c r="A108" t="s">
        <v>541</v>
      </c>
    </row>
    <row r="109" spans="1:41">
      <c r="AD109"/>
      <c r="AE109" s="2"/>
      <c r="AO109"/>
    </row>
    <row r="124" spans="2:3">
      <c r="B124" s="2"/>
      <c r="C124" s="2"/>
    </row>
  </sheetData>
  <sheetProtection algorithmName="SHA-512" hashValue="gILlhsKY+2/4pr0hERyTB9bwJT+M3CZBAP/WaS6tHadVXvo+MpLo+9gJM7mpItbbaofL5qd+/ZZLTtMBRONjhw==" saltValue="4dmxjsAzvVp6Dg0Ku+oIoQ==" spinCount="100000" sheet="1" objects="1" scenarios="1"/>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9E8DF-4A1A-6D4B-9C08-EB3E8B235A8B}">
  <sheetPr>
    <tabColor theme="5" tint="0.39997558519241921"/>
  </sheetPr>
  <dimension ref="A17:AL77"/>
  <sheetViews>
    <sheetView zoomScale="98" zoomScaleNormal="98" workbookViewId="0">
      <selection activeCell="C28" sqref="C28"/>
    </sheetView>
  </sheetViews>
  <sheetFormatPr defaultColWidth="11" defaultRowHeight="15.75"/>
  <cols>
    <col min="1" max="1" width="46" style="670" customWidth="1"/>
    <col min="2" max="2" width="22" style="670" customWidth="1"/>
    <col min="3" max="3" width="15" style="670" customWidth="1"/>
    <col min="4" max="4" width="11.625" style="670" customWidth="1"/>
    <col min="5" max="5" width="13.875" style="670" customWidth="1"/>
    <col min="6" max="6" width="13.125" style="670" customWidth="1"/>
    <col min="7" max="7" width="23" style="670" customWidth="1"/>
    <col min="8" max="8" width="26" style="670" customWidth="1"/>
    <col min="9" max="9" width="29.125" style="670" customWidth="1"/>
    <col min="10" max="10" width="29.875" style="670" bestFit="1" customWidth="1"/>
    <col min="11" max="11" width="24.125" style="670" bestFit="1" customWidth="1"/>
    <col min="12" max="12" width="8.875" style="670" customWidth="1"/>
    <col min="13" max="13" width="6.625" style="670" bestFit="1" customWidth="1"/>
    <col min="14" max="14" width="11" style="670"/>
    <col min="15" max="15" width="18.5" style="670" bestFit="1" customWidth="1"/>
    <col min="16" max="16" width="19.125" style="670" bestFit="1" customWidth="1"/>
    <col min="17" max="17" width="8" style="670" customWidth="1"/>
    <col min="18" max="18" width="6.625" style="670" bestFit="1" customWidth="1"/>
    <col min="19" max="19" width="11" style="670"/>
    <col min="20" max="20" width="11" style="670" bestFit="1" customWidth="1"/>
    <col min="21" max="21" width="12" style="670" bestFit="1" customWidth="1"/>
    <col min="22" max="22" width="11.5" style="670" bestFit="1" customWidth="1"/>
    <col min="23" max="23" width="13" style="670" customWidth="1"/>
    <col min="24" max="24" width="20.375" style="670" customWidth="1"/>
    <col min="25" max="25" width="14.625" style="670" customWidth="1"/>
    <col min="26" max="26" width="17.625" style="670" customWidth="1"/>
    <col min="27" max="27" width="12" style="670" customWidth="1"/>
    <col min="28" max="28" width="12.875" style="670" customWidth="1"/>
    <col min="29" max="29" width="11" style="670"/>
    <col min="30" max="30" width="13" style="670" customWidth="1"/>
    <col min="31" max="31" width="20.625" style="670" customWidth="1"/>
    <col min="32" max="32" width="16.375" style="670" customWidth="1"/>
    <col min="33" max="33" width="19" style="670" customWidth="1"/>
    <col min="34" max="35" width="11" style="670"/>
    <col min="36" max="36" width="12.375" style="670" customWidth="1"/>
    <col min="37" max="37" width="12.875" style="670" customWidth="1"/>
    <col min="38" max="16384" width="11" style="670"/>
  </cols>
  <sheetData>
    <row r="17" spans="1:17">
      <c r="A17" s="669"/>
    </row>
    <row r="26" spans="1:17">
      <c r="A26" s="670" t="s">
        <v>470</v>
      </c>
    </row>
    <row r="27" spans="1:17" s="674" customFormat="1" ht="31.5">
      <c r="A27" s="671" t="s">
        <v>148</v>
      </c>
      <c r="B27" s="672" t="s">
        <v>147</v>
      </c>
      <c r="C27" s="673" t="s">
        <v>114</v>
      </c>
    </row>
    <row r="28" spans="1:17">
      <c r="A28" s="675" t="s">
        <v>113</v>
      </c>
      <c r="B28" s="676">
        <v>172182.197058619</v>
      </c>
      <c r="C28" s="677" t="s">
        <v>182</v>
      </c>
      <c r="N28" s="678"/>
      <c r="O28" s="678"/>
      <c r="P28" s="678"/>
      <c r="Q28" s="678"/>
    </row>
    <row r="29" spans="1:17">
      <c r="A29" s="679" t="s">
        <v>143</v>
      </c>
      <c r="B29" s="680">
        <v>1921541.0520075101</v>
      </c>
      <c r="C29" s="677"/>
      <c r="N29" s="678"/>
      <c r="O29" s="678"/>
      <c r="P29" s="678"/>
      <c r="Q29" s="678"/>
    </row>
    <row r="30" spans="1:17">
      <c r="A30" s="679" t="s">
        <v>144</v>
      </c>
      <c r="B30" s="680">
        <v>1109958.2039781699</v>
      </c>
      <c r="C30" s="677"/>
      <c r="N30" s="678"/>
      <c r="O30" s="678"/>
      <c r="P30" s="678"/>
      <c r="Q30" s="678"/>
    </row>
    <row r="31" spans="1:17">
      <c r="A31" s="679" t="s">
        <v>145</v>
      </c>
      <c r="B31" s="680">
        <v>12275.559092001</v>
      </c>
      <c r="C31" s="677"/>
      <c r="N31" s="678"/>
      <c r="O31" s="678"/>
      <c r="P31" s="678"/>
      <c r="Q31" s="678"/>
    </row>
    <row r="32" spans="1:17">
      <c r="A32" s="679" t="s">
        <v>146</v>
      </c>
      <c r="B32" s="680">
        <v>27.968818773308001</v>
      </c>
      <c r="C32" s="677"/>
      <c r="N32" s="678"/>
      <c r="O32" s="678"/>
      <c r="P32" s="678"/>
      <c r="Q32" s="678"/>
    </row>
    <row r="33" spans="1:17">
      <c r="A33" s="681" t="s">
        <v>1</v>
      </c>
      <c r="B33" s="682">
        <f>SUM(B28:B32)</f>
        <v>3215984.9809550736</v>
      </c>
      <c r="C33" s="683"/>
      <c r="N33" s="678"/>
      <c r="O33" s="678"/>
      <c r="P33" s="678"/>
      <c r="Q33" s="678"/>
    </row>
    <row r="34" spans="1:17">
      <c r="A34" s="679"/>
      <c r="B34" s="680"/>
      <c r="C34" s="680"/>
      <c r="D34" s="680"/>
      <c r="E34" s="680"/>
      <c r="F34" s="680"/>
      <c r="G34" s="680"/>
      <c r="H34" s="680"/>
      <c r="I34" s="680"/>
      <c r="J34" s="680"/>
      <c r="K34" s="684"/>
    </row>
    <row r="35" spans="1:17">
      <c r="A35" s="685" t="s">
        <v>469</v>
      </c>
      <c r="B35" s="686"/>
      <c r="C35" s="687"/>
      <c r="D35" s="687"/>
      <c r="E35" s="687"/>
      <c r="F35" s="687"/>
      <c r="H35" s="687"/>
    </row>
    <row r="36" spans="1:17" s="691" customFormat="1" ht="57" customHeight="1">
      <c r="A36" s="688" t="s">
        <v>185</v>
      </c>
      <c r="B36" s="689" t="s">
        <v>152</v>
      </c>
      <c r="C36" s="689" t="s">
        <v>153</v>
      </c>
      <c r="D36" s="689" t="s">
        <v>151</v>
      </c>
      <c r="E36" s="689" t="s">
        <v>154</v>
      </c>
      <c r="F36" s="689" t="s">
        <v>155</v>
      </c>
      <c r="G36" s="690" t="s">
        <v>114</v>
      </c>
    </row>
    <row r="37" spans="1:17" s="696" customFormat="1">
      <c r="A37" s="692" t="s">
        <v>186</v>
      </c>
      <c r="B37" s="693">
        <f>B33+D37</f>
        <v>3942181.8191063963</v>
      </c>
      <c r="C37" s="693">
        <f>B33+F37</f>
        <v>4146004.6263486054</v>
      </c>
      <c r="D37" s="694">
        <f>G66</f>
        <v>726196.83815132244</v>
      </c>
      <c r="E37" s="694">
        <f t="shared" ref="E37:F37" si="0">H66</f>
        <v>203822.80724220892</v>
      </c>
      <c r="F37" s="694">
        <f t="shared" si="0"/>
        <v>930019.64539353177</v>
      </c>
      <c r="G37" s="695" t="s">
        <v>531</v>
      </c>
    </row>
    <row r="39" spans="1:17">
      <c r="A39" s="697" t="s">
        <v>506</v>
      </c>
    </row>
    <row r="40" spans="1:17" ht="16.5" thickBot="1">
      <c r="A40" s="698" t="s">
        <v>137</v>
      </c>
      <c r="B40" s="698">
        <v>2010</v>
      </c>
      <c r="C40" s="698">
        <v>2017</v>
      </c>
      <c r="D40" s="698">
        <v>2020</v>
      </c>
      <c r="E40" s="698">
        <v>2030</v>
      </c>
      <c r="F40" s="698">
        <v>2050</v>
      </c>
      <c r="G40" s="698" t="s">
        <v>507</v>
      </c>
      <c r="H40" s="698" t="s">
        <v>508</v>
      </c>
      <c r="I40" s="698" t="s">
        <v>509</v>
      </c>
    </row>
    <row r="41" spans="1:17">
      <c r="A41" s="670" t="s">
        <v>510</v>
      </c>
      <c r="B41" s="678">
        <v>4013066.3880981151</v>
      </c>
      <c r="C41" s="699">
        <v>3998599.9111479353</v>
      </c>
      <c r="D41" s="678">
        <v>3898654.468189097</v>
      </c>
      <c r="E41" s="678">
        <v>3095681.9467594828</v>
      </c>
      <c r="F41" s="678">
        <v>2842258.5434304718</v>
      </c>
      <c r="G41" s="678">
        <v>902917.964388452</v>
      </c>
      <c r="H41" s="678">
        <v>253423.40332901105</v>
      </c>
      <c r="I41" s="678">
        <v>1156341.3677174635</v>
      </c>
      <c r="J41" s="687"/>
      <c r="K41" s="687"/>
      <c r="L41" s="687"/>
    </row>
    <row r="42" spans="1:17">
      <c r="A42" s="670" t="s">
        <v>503</v>
      </c>
      <c r="B42" s="678">
        <v>4013066.3880981151</v>
      </c>
      <c r="C42" s="699">
        <v>3998599.9111479353</v>
      </c>
      <c r="D42" s="678">
        <v>3898654.468189097</v>
      </c>
      <c r="E42" s="678">
        <v>2800600.0218030075</v>
      </c>
      <c r="F42" s="678">
        <v>2363972.3540082667</v>
      </c>
      <c r="G42" s="678">
        <v>1197999.8893449279</v>
      </c>
      <c r="H42" s="678">
        <v>436627.66779474076</v>
      </c>
      <c r="I42" s="678">
        <v>1634627.5571396686</v>
      </c>
      <c r="J42" s="687"/>
      <c r="K42" s="687"/>
      <c r="L42" s="687"/>
    </row>
    <row r="43" spans="1:17">
      <c r="A43" s="670" t="s">
        <v>511</v>
      </c>
      <c r="B43" s="678">
        <v>3985218.722880031</v>
      </c>
      <c r="C43" s="699">
        <v>3969900.5359699139</v>
      </c>
      <c r="D43" s="678">
        <v>3625027.6431034463</v>
      </c>
      <c r="E43" s="678">
        <v>2652533.1973617356</v>
      </c>
      <c r="F43" s="678">
        <v>2273036.0698970091</v>
      </c>
      <c r="G43" s="678">
        <v>1317367.3386081783</v>
      </c>
      <c r="H43" s="678">
        <v>379497.12746472657</v>
      </c>
      <c r="I43" s="678">
        <v>1696864.4660729049</v>
      </c>
      <c r="J43" s="687"/>
      <c r="K43" s="687"/>
      <c r="L43" s="687"/>
    </row>
    <row r="44" spans="1:17">
      <c r="A44" s="670" t="s">
        <v>504</v>
      </c>
      <c r="B44" s="678">
        <v>4003556.9362523789</v>
      </c>
      <c r="C44" s="699">
        <v>3989089.7013480193</v>
      </c>
      <c r="D44" s="678">
        <v>3888926.2924228571</v>
      </c>
      <c r="E44" s="678">
        <v>3085014.3835308044</v>
      </c>
      <c r="F44" s="678">
        <v>2822425.3355699647</v>
      </c>
      <c r="G44" s="678">
        <v>904075.31781721488</v>
      </c>
      <c r="H44" s="678">
        <v>262589.0479608397</v>
      </c>
      <c r="I44" s="678">
        <v>1166664.3657780546</v>
      </c>
      <c r="J44" s="687"/>
      <c r="K44" s="687"/>
      <c r="L44" s="687"/>
    </row>
    <row r="45" spans="1:17">
      <c r="A45" s="670" t="s">
        <v>505</v>
      </c>
      <c r="B45" s="678">
        <v>4013066.3880981151</v>
      </c>
      <c r="C45" s="699">
        <v>3998600.0127286427</v>
      </c>
      <c r="D45" s="678">
        <v>3898683.7814789629</v>
      </c>
      <c r="E45" s="678">
        <v>3035230.8053450128</v>
      </c>
      <c r="F45" s="678">
        <v>2477598.4207666693</v>
      </c>
      <c r="G45" s="678">
        <v>963369.20738362987</v>
      </c>
      <c r="H45" s="678">
        <v>557632.38457834348</v>
      </c>
      <c r="I45" s="678">
        <v>1521001.5919619733</v>
      </c>
      <c r="J45" s="687"/>
      <c r="K45" s="687"/>
      <c r="L45" s="687"/>
    </row>
    <row r="46" spans="1:17">
      <c r="A46" s="700" t="s">
        <v>512</v>
      </c>
      <c r="B46" s="701">
        <v>3975709.2710342938</v>
      </c>
      <c r="C46" s="702">
        <v>3960392.1962298518</v>
      </c>
      <c r="D46" s="701">
        <v>3615839.1131810388</v>
      </c>
      <c r="E46" s="701">
        <v>2332660.6838096203</v>
      </c>
      <c r="F46" s="701">
        <v>1596503.5135932365</v>
      </c>
      <c r="G46" s="701">
        <v>1627731.5124202315</v>
      </c>
      <c r="H46" s="701">
        <v>736157.17021638388</v>
      </c>
      <c r="I46" s="701">
        <v>2363888.6826366154</v>
      </c>
      <c r="J46" s="687"/>
      <c r="K46" s="687"/>
      <c r="L46" s="687"/>
    </row>
    <row r="48" spans="1:17">
      <c r="A48" s="697" t="s">
        <v>526</v>
      </c>
    </row>
    <row r="49" spans="1:9" ht="16.5" thickBot="1">
      <c r="A49" s="698" t="s">
        <v>137</v>
      </c>
      <c r="B49" s="698">
        <v>2010</v>
      </c>
      <c r="C49" s="698">
        <v>2017</v>
      </c>
      <c r="D49" s="698">
        <v>2020</v>
      </c>
      <c r="E49" s="698">
        <v>2030</v>
      </c>
      <c r="F49" s="698">
        <v>2050</v>
      </c>
      <c r="G49" s="698" t="s">
        <v>507</v>
      </c>
      <c r="H49" s="698" t="s">
        <v>508</v>
      </c>
      <c r="I49" s="698" t="s">
        <v>509</v>
      </c>
    </row>
    <row r="50" spans="1:9">
      <c r="A50" s="670" t="s">
        <v>510</v>
      </c>
      <c r="B50" s="687">
        <v>4013066.3880981151</v>
      </c>
      <c r="C50" s="699">
        <v>3998599.9111479353</v>
      </c>
      <c r="D50" s="678">
        <v>3898654.468189097</v>
      </c>
      <c r="E50" s="678">
        <v>3095681.9467594828</v>
      </c>
      <c r="F50" s="678">
        <v>2842258.5434304718</v>
      </c>
      <c r="G50" s="678">
        <v>902917.964388452</v>
      </c>
      <c r="H50" s="678">
        <v>253423.40332901099</v>
      </c>
      <c r="I50" s="678">
        <v>1156341.3677174635</v>
      </c>
    </row>
    <row r="51" spans="1:9">
      <c r="A51" s="670" t="s">
        <v>503</v>
      </c>
      <c r="B51" s="687">
        <v>4013066.3880981151</v>
      </c>
      <c r="C51" s="699">
        <v>3998599.9111479353</v>
      </c>
      <c r="D51" s="678">
        <v>3898654.468189097</v>
      </c>
      <c r="E51" s="678">
        <v>2800600.0218030075</v>
      </c>
      <c r="F51" s="678">
        <v>2363972.3540082667</v>
      </c>
      <c r="G51" s="678">
        <f>G42-$G$41</f>
        <v>295081.92495647585</v>
      </c>
      <c r="H51" s="678">
        <f>H42-$H$41</f>
        <v>183204.26446572971</v>
      </c>
      <c r="I51" s="678">
        <f>I42-$I$41</f>
        <v>478286.18942220509</v>
      </c>
    </row>
    <row r="52" spans="1:9">
      <c r="A52" s="670" t="s">
        <v>511</v>
      </c>
      <c r="B52" s="687">
        <v>3985218.722880031</v>
      </c>
      <c r="C52" s="699">
        <v>3969900.5359699139</v>
      </c>
      <c r="D52" s="678">
        <v>3625027.6431034463</v>
      </c>
      <c r="E52" s="678">
        <v>2652533.1973617356</v>
      </c>
      <c r="F52" s="678">
        <v>2273036.0698970091</v>
      </c>
      <c r="G52" s="678">
        <f t="shared" ref="G52:G55" si="1">G43-$G$41</f>
        <v>414449.37421972631</v>
      </c>
      <c r="H52" s="678">
        <f t="shared" ref="H52:H55" si="2">H43-$H$41</f>
        <v>126073.72413571551</v>
      </c>
      <c r="I52" s="678">
        <f t="shared" ref="I52:I55" si="3">I43-$I$41</f>
        <v>540523.09835544135</v>
      </c>
    </row>
    <row r="53" spans="1:9">
      <c r="A53" s="670" t="s">
        <v>504</v>
      </c>
      <c r="B53" s="687">
        <v>4003556.9362523789</v>
      </c>
      <c r="C53" s="699">
        <v>3989089.7013480193</v>
      </c>
      <c r="D53" s="678">
        <v>3888926.2924228571</v>
      </c>
      <c r="E53" s="678">
        <v>3085014.3835308044</v>
      </c>
      <c r="F53" s="678">
        <v>2822425.3355699647</v>
      </c>
      <c r="G53" s="678">
        <f t="shared" si="1"/>
        <v>1157.3534287628718</v>
      </c>
      <c r="H53" s="678">
        <f t="shared" si="2"/>
        <v>9165.6446318286471</v>
      </c>
      <c r="I53" s="678">
        <f t="shared" si="3"/>
        <v>10322.998060591053</v>
      </c>
    </row>
    <row r="54" spans="1:9">
      <c r="A54" s="670" t="s">
        <v>505</v>
      </c>
      <c r="B54" s="687">
        <v>4013066.3880981151</v>
      </c>
      <c r="C54" s="699">
        <v>3998600.0127286427</v>
      </c>
      <c r="D54" s="678">
        <v>3898683.7814789629</v>
      </c>
      <c r="E54" s="678">
        <v>3035230.8053450128</v>
      </c>
      <c r="F54" s="678">
        <v>2477598.4207666693</v>
      </c>
      <c r="G54" s="678">
        <f t="shared" si="1"/>
        <v>60451.242995177861</v>
      </c>
      <c r="H54" s="678">
        <f t="shared" si="2"/>
        <v>304208.98124933243</v>
      </c>
      <c r="I54" s="678">
        <f t="shared" si="3"/>
        <v>364660.22424450982</v>
      </c>
    </row>
    <row r="55" spans="1:9">
      <c r="A55" s="700" t="s">
        <v>512</v>
      </c>
      <c r="B55" s="703">
        <v>3975709.2710342938</v>
      </c>
      <c r="C55" s="702">
        <v>3960392.1962298518</v>
      </c>
      <c r="D55" s="701">
        <v>3615839.1131810388</v>
      </c>
      <c r="E55" s="701">
        <v>2332660.6838096203</v>
      </c>
      <c r="F55" s="701">
        <v>1596503.5135932365</v>
      </c>
      <c r="G55" s="678">
        <f t="shared" si="1"/>
        <v>724813.54803177947</v>
      </c>
      <c r="H55" s="678">
        <f t="shared" si="2"/>
        <v>482733.76688737283</v>
      </c>
      <c r="I55" s="678">
        <f t="shared" si="3"/>
        <v>1207547.3149191518</v>
      </c>
    </row>
    <row r="57" spans="1:9">
      <c r="A57" s="697" t="s">
        <v>513</v>
      </c>
    </row>
    <row r="58" spans="1:9">
      <c r="A58" s="704" t="s">
        <v>114</v>
      </c>
      <c r="B58" s="704" t="s">
        <v>514</v>
      </c>
    </row>
    <row r="59" spans="1:9" ht="16.5" thickBot="1">
      <c r="A59" s="705"/>
      <c r="B59" s="705" t="s">
        <v>516</v>
      </c>
    </row>
    <row r="60" spans="1:9">
      <c r="A60" s="670" t="s">
        <v>515</v>
      </c>
      <c r="B60" s="687">
        <f>C41</f>
        <v>3998599.9111479353</v>
      </c>
    </row>
    <row r="61" spans="1:9">
      <c r="A61" s="670" t="s">
        <v>517</v>
      </c>
      <c r="B61" s="687">
        <f>B33</f>
        <v>3215984.9809550736</v>
      </c>
    </row>
    <row r="62" spans="1:9">
      <c r="A62" s="670" t="s">
        <v>518</v>
      </c>
      <c r="B62" s="706">
        <f>B61/B60</f>
        <v>0.80427776032031539</v>
      </c>
    </row>
    <row r="64" spans="1:9">
      <c r="A64" s="697" t="s">
        <v>519</v>
      </c>
    </row>
    <row r="65" spans="1:38" ht="63.75" thickBot="1">
      <c r="A65" s="698" t="s">
        <v>137</v>
      </c>
      <c r="B65" s="698">
        <v>2010</v>
      </c>
      <c r="C65" s="698">
        <v>2017</v>
      </c>
      <c r="D65" s="698">
        <v>2020</v>
      </c>
      <c r="E65" s="698">
        <v>2030</v>
      </c>
      <c r="F65" s="698">
        <v>2050</v>
      </c>
      <c r="G65" s="698" t="s">
        <v>507</v>
      </c>
      <c r="H65" s="698" t="s">
        <v>508</v>
      </c>
      <c r="I65" s="698" t="s">
        <v>509</v>
      </c>
      <c r="J65" s="707" t="s">
        <v>524</v>
      </c>
      <c r="K65" s="708" t="s">
        <v>525</v>
      </c>
      <c r="L65" s="707" t="s">
        <v>520</v>
      </c>
      <c r="M65" s="707" t="s">
        <v>521</v>
      </c>
      <c r="N65" s="707" t="s">
        <v>1</v>
      </c>
      <c r="O65" s="707" t="s">
        <v>522</v>
      </c>
      <c r="P65" s="707" t="s">
        <v>523</v>
      </c>
      <c r="Q65" s="707" t="s">
        <v>520</v>
      </c>
      <c r="R65" s="707" t="s">
        <v>521</v>
      </c>
      <c r="S65" s="707" t="s">
        <v>1</v>
      </c>
      <c r="T65" s="709" t="s">
        <v>545</v>
      </c>
      <c r="U65" s="709" t="s">
        <v>546</v>
      </c>
      <c r="V65" s="709" t="s">
        <v>547</v>
      </c>
      <c r="W65" s="709" t="s">
        <v>548</v>
      </c>
      <c r="X65" s="709" t="s">
        <v>549</v>
      </c>
      <c r="Y65" s="709" t="s">
        <v>550</v>
      </c>
      <c r="Z65" s="709" t="s">
        <v>550</v>
      </c>
      <c r="AA65" s="729" t="s">
        <v>570</v>
      </c>
      <c r="AB65" s="729">
        <v>2017</v>
      </c>
      <c r="AC65" s="729">
        <v>2020</v>
      </c>
      <c r="AD65" s="729">
        <v>2030</v>
      </c>
      <c r="AE65" s="729">
        <v>2050</v>
      </c>
      <c r="AF65" s="708" t="s">
        <v>571</v>
      </c>
      <c r="AG65" s="708" t="s">
        <v>508</v>
      </c>
      <c r="AH65" s="708" t="s">
        <v>509</v>
      </c>
      <c r="AI65" s="708" t="s">
        <v>571</v>
      </c>
      <c r="AJ65" s="708" t="s">
        <v>509</v>
      </c>
      <c r="AK65" s="708" t="s">
        <v>577</v>
      </c>
      <c r="AL65" s="708" t="s">
        <v>578</v>
      </c>
    </row>
    <row r="66" spans="1:38">
      <c r="A66" s="670" t="s">
        <v>510</v>
      </c>
      <c r="C66" s="687">
        <f>$B$61</f>
        <v>3215984.9809550736</v>
      </c>
      <c r="G66" s="710">
        <f>G50*$B$62</f>
        <v>726196.83815132244</v>
      </c>
      <c r="H66" s="710">
        <f t="shared" ref="H66:I66" si="4">H50*$B$62</f>
        <v>203822.80724220892</v>
      </c>
      <c r="I66" s="710">
        <f t="shared" si="4"/>
        <v>930019.64539353177</v>
      </c>
      <c r="J66" s="711">
        <f>(C66-G66)*L66</f>
        <v>1631591.4619931981</v>
      </c>
      <c r="K66" s="711">
        <f>(C66-G66)*M66</f>
        <v>858196.68081055291</v>
      </c>
      <c r="L66" s="712">
        <v>0.65531337142439061</v>
      </c>
      <c r="M66" s="712">
        <v>0.34468662857560944</v>
      </c>
      <c r="N66" s="712">
        <v>1</v>
      </c>
      <c r="O66" s="711">
        <f>(C66-I66)*Q66</f>
        <v>1302454.9880430202</v>
      </c>
      <c r="P66" s="713">
        <f>(C66-I66)*R66</f>
        <v>983510.34751852171</v>
      </c>
      <c r="Q66" s="712">
        <v>0.56976147791107046</v>
      </c>
      <c r="R66" s="712">
        <v>0.43023852208892954</v>
      </c>
      <c r="S66" s="712">
        <v>1</v>
      </c>
      <c r="T66" s="714">
        <f>(1-J66/$B$29)*'Talking Point Statistics'!$B$60</f>
        <v>89036.991847914105</v>
      </c>
      <c r="U66" s="714">
        <f>(1-+O66/$B$29)*'Talking Point Statistics'!$B$60</f>
        <v>190107.3935908745</v>
      </c>
      <c r="V66" s="714">
        <f>U66-T66</f>
        <v>101070.4017429604</v>
      </c>
      <c r="W66" s="714">
        <f>(1-K66/$B$30)*'Talking Point Statistics'!$E$60</f>
        <v>3821.7023746009513</v>
      </c>
      <c r="X66" s="714">
        <f>(1-P66/$B$30)*'Talking Point Statistics'!$E$60</f>
        <v>1919.4596029406127</v>
      </c>
      <c r="Y66" s="714">
        <f>X66-W66</f>
        <v>-1902.2427716603386</v>
      </c>
      <c r="Z66" s="711">
        <f>IF(Y66&lt;0,0,Y66)</f>
        <v>0</v>
      </c>
      <c r="AA66" s="71">
        <v>12764834.385489199</v>
      </c>
      <c r="AB66" s="727">
        <v>12757798.871598814</v>
      </c>
      <c r="AC66" s="71">
        <v>14794786.0914065</v>
      </c>
      <c r="AD66" s="71">
        <v>15953305.4411429</v>
      </c>
      <c r="AE66" s="71">
        <v>16815896.5166995</v>
      </c>
      <c r="AF66" s="728">
        <v>3195506.5695440862</v>
      </c>
      <c r="AG66" s="728">
        <v>862591.07555660047</v>
      </c>
      <c r="AH66" s="728">
        <v>4058097.6451006867</v>
      </c>
      <c r="AI66" s="3">
        <v>0.25047475679036346</v>
      </c>
      <c r="AJ66" s="3">
        <v>0.31808760162654326</v>
      </c>
      <c r="AK66" s="712">
        <f>G66/C66</f>
        <v>0.22580852909818586</v>
      </c>
      <c r="AL66" s="712">
        <f>I66/C66</f>
        <v>0.28918656365034928</v>
      </c>
    </row>
    <row r="67" spans="1:38">
      <c r="A67" s="670" t="s">
        <v>503</v>
      </c>
      <c r="C67" s="687">
        <f t="shared" ref="C67:C72" si="5">$B$61</f>
        <v>3215984.9809550736</v>
      </c>
      <c r="G67" s="710">
        <f>G51*$B$62</f>
        <v>237327.82971500178</v>
      </c>
      <c r="H67" s="710">
        <f t="shared" ref="G67:I71" si="6">H51*$B$62</f>
        <v>147347.11550562782</v>
      </c>
      <c r="I67" s="710">
        <f t="shared" si="6"/>
        <v>384674.94522062922</v>
      </c>
      <c r="J67" s="711">
        <f>(C67-G67-$G$66)*L67</f>
        <v>1389174.6348871398</v>
      </c>
      <c r="K67" s="711">
        <f>(C67-G67-$G$66)*M67</f>
        <v>863285.67820160964</v>
      </c>
      <c r="L67" s="712">
        <v>0.61673656437577584</v>
      </c>
      <c r="M67" s="712">
        <v>0.3832634356242241</v>
      </c>
      <c r="N67" s="712">
        <v>1</v>
      </c>
      <c r="O67" s="711">
        <f>(C67-I67-$I$66)*Q67</f>
        <v>903019.87015381665</v>
      </c>
      <c r="P67" s="713">
        <f>(C67-I67-$I$66)*R67</f>
        <v>998270.52018709574</v>
      </c>
      <c r="Q67" s="712">
        <v>0.47495105152869355</v>
      </c>
      <c r="R67" s="712">
        <v>0.52504894847130634</v>
      </c>
      <c r="S67" s="712">
        <v>0.99999999999999989</v>
      </c>
      <c r="T67" s="714">
        <f>(1-J67/$B$29)*'Talking Point Statistics'!$B$60</f>
        <v>163477.74224791961</v>
      </c>
      <c r="U67" s="714">
        <f>(1-+O67/$B$29)*'Talking Point Statistics'!$B$60</f>
        <v>312764.92634860717</v>
      </c>
      <c r="V67" s="714">
        <f t="shared" ref="V67:V72" si="7">U67-T67</f>
        <v>149287.18410068756</v>
      </c>
      <c r="W67" s="714">
        <f>(1-K67/$B$30)*'Talking Point Statistics'!$E$60</f>
        <v>3744.4521531650444</v>
      </c>
      <c r="X67" s="714">
        <f>(1-P67/$B$30)*'Talking Point Statistics'!$E$60</f>
        <v>1695.4023831268703</v>
      </c>
      <c r="Y67" s="714">
        <f>X67-W67</f>
        <v>-2049.0497700381738</v>
      </c>
      <c r="Z67" s="711">
        <f t="shared" ref="Z67:Z71" si="8">IF(Y67&lt;0,0,Y67)</f>
        <v>0</v>
      </c>
      <c r="AA67" s="71">
        <v>12764834.385489199</v>
      </c>
      <c r="AB67" s="727">
        <v>12757798.871598814</v>
      </c>
      <c r="AC67" s="71">
        <v>14794786.0914065</v>
      </c>
      <c r="AD67" s="71">
        <v>13036919.669331601</v>
      </c>
      <c r="AE67" s="71">
        <v>11061751.088783599</v>
      </c>
      <c r="AF67" s="728">
        <v>279120.79773278721</v>
      </c>
      <c r="AG67" s="728">
        <v>-1975168.5805480015</v>
      </c>
      <c r="AH67" s="728">
        <v>-1696047.7828152142</v>
      </c>
      <c r="AI67" s="3">
        <v>2.187844474912996E-2</v>
      </c>
      <c r="AJ67" s="3">
        <v>-0.13294203803376503</v>
      </c>
      <c r="AK67" s="712">
        <f>G67/C67+AK66</f>
        <v>0.29960484068559906</v>
      </c>
      <c r="AL67" s="712">
        <f>I67/C67+AL66</f>
        <v>0.40879997835802295</v>
      </c>
    </row>
    <row r="68" spans="1:38">
      <c r="A68" s="670" t="s">
        <v>511</v>
      </c>
      <c r="C68" s="687">
        <f t="shared" si="5"/>
        <v>3215984.9809550736</v>
      </c>
      <c r="G68" s="710">
        <f t="shared" si="6"/>
        <v>333332.41446359776</v>
      </c>
      <c r="H68" s="710">
        <f t="shared" si="6"/>
        <v>101398.29248311456</v>
      </c>
      <c r="I68" s="710">
        <f t="shared" si="6"/>
        <v>434730.70694671193</v>
      </c>
      <c r="J68" s="711">
        <f t="shared" ref="J68:J69" si="9">(C68-G68-$G$66)*L68</f>
        <v>1491970.9150488307</v>
      </c>
      <c r="K68" s="711">
        <f t="shared" ref="K68:K72" si="10">(C68-G68-$G$66)*M68</f>
        <v>664484.81329132302</v>
      </c>
      <c r="L68" s="712">
        <v>0.69186252953925287</v>
      </c>
      <c r="M68" s="712">
        <v>0.30813747046074713</v>
      </c>
      <c r="N68" s="712">
        <v>1</v>
      </c>
      <c r="O68" s="711">
        <f t="shared" ref="O68:O72" si="11">(C68-I68-$I$66)*Q68</f>
        <v>1170782.2967993305</v>
      </c>
      <c r="P68" s="713">
        <f t="shared" ref="P68:P72" si="12">(C68-I68-$I$66)*R68</f>
        <v>680452.33181549935</v>
      </c>
      <c r="Q68" s="712">
        <v>0.63243323061397039</v>
      </c>
      <c r="R68" s="712">
        <v>0.36756676938602961</v>
      </c>
      <c r="S68" s="712">
        <v>1</v>
      </c>
      <c r="T68" s="714">
        <f>(1-J68/$B$29)*'Talking Point Statistics'!$B$60</f>
        <v>131911.31872478029</v>
      </c>
      <c r="U68" s="714">
        <f>(1-+O68/$B$29)*'Talking Point Statistics'!$B$60</f>
        <v>230541.1129014575</v>
      </c>
      <c r="V68" s="714">
        <f t="shared" si="7"/>
        <v>98629.794176677213</v>
      </c>
      <c r="W68" s="714">
        <f>(1-K68/$B$30)*'Talking Point Statistics'!$E$60</f>
        <v>6762.2196338397471</v>
      </c>
      <c r="X68" s="714">
        <f>(1-P68/$B$30)*'Talking Point Statistics'!$E$60</f>
        <v>6519.8350839985005</v>
      </c>
      <c r="Y68" s="714">
        <f t="shared" ref="Y68:Y72" si="13">X68-W68</f>
        <v>-242.38454984124655</v>
      </c>
      <c r="Z68" s="711">
        <f t="shared" si="8"/>
        <v>0</v>
      </c>
      <c r="AA68" s="71">
        <v>12764834.385489199</v>
      </c>
      <c r="AB68" s="727">
        <v>12757798.871598814</v>
      </c>
      <c r="AC68" s="71">
        <v>14794786.0914065</v>
      </c>
      <c r="AD68" s="71">
        <v>15953305.4411429</v>
      </c>
      <c r="AE68" s="71">
        <v>16815896.5166995</v>
      </c>
      <c r="AF68" s="728">
        <v>3195506.5695440862</v>
      </c>
      <c r="AG68" s="728">
        <v>862591.07555660047</v>
      </c>
      <c r="AH68" s="728">
        <v>4058097.6451006867</v>
      </c>
      <c r="AI68" s="3">
        <v>0.25047475679036346</v>
      </c>
      <c r="AJ68" s="3">
        <v>0.31808760162654326</v>
      </c>
      <c r="AK68" s="712">
        <f>G68/C68+AK66</f>
        <v>0.32945715197347231</v>
      </c>
      <c r="AL68" s="712">
        <f>I68/C68+AL66</f>
        <v>0.42436465357339581</v>
      </c>
    </row>
    <row r="69" spans="1:38">
      <c r="A69" s="670" t="s">
        <v>504</v>
      </c>
      <c r="C69" s="687">
        <f t="shared" si="5"/>
        <v>3215984.9809550736</v>
      </c>
      <c r="G69" s="710">
        <f t="shared" si="6"/>
        <v>930.83362358444015</v>
      </c>
      <c r="H69" s="710">
        <f t="shared" si="6"/>
        <v>7371.7241363790663</v>
      </c>
      <c r="I69" s="710">
        <f t="shared" si="6"/>
        <v>8302.5577599631324</v>
      </c>
      <c r="J69" s="711">
        <f t="shared" si="9"/>
        <v>1627894.6759156457</v>
      </c>
      <c r="K69" s="711">
        <f t="shared" si="10"/>
        <v>860962.63326452067</v>
      </c>
      <c r="L69" s="712">
        <v>0.65407312420488928</v>
      </c>
      <c r="M69" s="712">
        <v>0.34592687579511061</v>
      </c>
      <c r="N69" s="712">
        <v>0.99999999999999989</v>
      </c>
      <c r="O69" s="711">
        <f t="shared" si="11"/>
        <v>1295333.3825900841</v>
      </c>
      <c r="P69" s="713">
        <f t="shared" si="12"/>
        <v>982329.39521149476</v>
      </c>
      <c r="Q69" s="712">
        <v>0.56871166145163587</v>
      </c>
      <c r="R69" s="712">
        <v>0.43128833854836413</v>
      </c>
      <c r="S69" s="712">
        <v>1</v>
      </c>
      <c r="T69" s="714">
        <f>(1-J69/$B$29)*'Talking Point Statistics'!$B$60</f>
        <v>90172.191631553273</v>
      </c>
      <c r="U69" s="714">
        <f>(1-+O69/$B$29)*'Talking Point Statistics'!$B$60</f>
        <v>192294.27830633774</v>
      </c>
      <c r="V69" s="714">
        <f t="shared" si="7"/>
        <v>102122.08667478447</v>
      </c>
      <c r="W69" s="714">
        <f>(1-K69/$B$30)*'Talking Point Statistics'!$E$60</f>
        <v>3779.7156288569472</v>
      </c>
      <c r="X69" s="714">
        <f>(1-P69/$B$30)*'Talking Point Statistics'!$E$60</f>
        <v>1937.386282837009</v>
      </c>
      <c r="Y69" s="714">
        <f t="shared" si="13"/>
        <v>-1842.3293460199382</v>
      </c>
      <c r="Z69" s="711">
        <f t="shared" si="8"/>
        <v>0</v>
      </c>
      <c r="AA69" s="71">
        <v>12688991.7775278</v>
      </c>
      <c r="AB69" s="727">
        <v>12681895.046087166</v>
      </c>
      <c r="AC69" s="71">
        <v>14701277.8475162</v>
      </c>
      <c r="AD69" s="71">
        <v>15830602.270323301</v>
      </c>
      <c r="AE69" s="71">
        <v>16691618.5465352</v>
      </c>
      <c r="AF69" s="728">
        <v>3148707.2242361344</v>
      </c>
      <c r="AG69" s="728">
        <v>861016.27621189877</v>
      </c>
      <c r="AH69" s="728">
        <v>4009723.5004480332</v>
      </c>
      <c r="AI69" s="3">
        <v>0.24828365262395286</v>
      </c>
      <c r="AJ69" s="3">
        <v>0.3161769976708001</v>
      </c>
      <c r="AK69" s="712">
        <f>G69/C69+AK66</f>
        <v>0.22609796876568952</v>
      </c>
      <c r="AL69" s="712">
        <f>I69/C69+AL66</f>
        <v>0.29176821680144621</v>
      </c>
    </row>
    <row r="70" spans="1:38">
      <c r="A70" s="670" t="s">
        <v>505</v>
      </c>
      <c r="C70" s="687">
        <f t="shared" si="5"/>
        <v>3215984.9809550736</v>
      </c>
      <c r="G70" s="710">
        <f t="shared" si="6"/>
        <v>48619.590324740806</v>
      </c>
      <c r="H70" s="710">
        <f t="shared" si="6"/>
        <v>244668.51810853792</v>
      </c>
      <c r="I70" s="710">
        <f t="shared" si="6"/>
        <v>293288.10843327834</v>
      </c>
      <c r="J70" s="711">
        <f>(C70-G70-$G$66)*L70</f>
        <v>1630419.5362214323</v>
      </c>
      <c r="K70" s="711">
        <f t="shared" si="10"/>
        <v>810749.01625757781</v>
      </c>
      <c r="L70" s="712">
        <v>0.66788486791120549</v>
      </c>
      <c r="M70" s="712">
        <v>0.33211513208879456</v>
      </c>
      <c r="N70" s="712">
        <v>1</v>
      </c>
      <c r="O70" s="711">
        <f t="shared" si="11"/>
        <v>1296804.2940230495</v>
      </c>
      <c r="P70" s="713">
        <f t="shared" si="12"/>
        <v>695872.93310521403</v>
      </c>
      <c r="Q70" s="712">
        <v>0.65078492209796179</v>
      </c>
      <c r="R70" s="712">
        <v>0.34921507790203821</v>
      </c>
      <c r="S70" s="712">
        <v>1</v>
      </c>
      <c r="T70" s="714">
        <f>(1-J70/$B$29)*'Talking Point Statistics'!$B$60</f>
        <v>89396.863870433328</v>
      </c>
      <c r="U70" s="714">
        <f>(1-+O70/$B$29)*'Talking Point Statistics'!$B$60</f>
        <v>191842.59451792651</v>
      </c>
      <c r="V70" s="714">
        <f t="shared" si="7"/>
        <v>102445.73064749318</v>
      </c>
      <c r="W70" s="714">
        <f>(1-K70/$B$30)*'Talking Point Statistics'!$E$60</f>
        <v>4541.9508462891708</v>
      </c>
      <c r="X70" s="714">
        <f>(1-P70/$B$30)*'Talking Point Statistics'!$E$60</f>
        <v>6285.7526562105149</v>
      </c>
      <c r="Y70" s="714">
        <f t="shared" si="13"/>
        <v>1743.8018099213441</v>
      </c>
      <c r="Z70" s="711">
        <f t="shared" si="8"/>
        <v>1743.8018099213441</v>
      </c>
      <c r="AA70" s="71">
        <v>12764834.385489199</v>
      </c>
      <c r="AB70" s="727">
        <v>12757798.38667642</v>
      </c>
      <c r="AC70" s="71">
        <v>14794646.1566587</v>
      </c>
      <c r="AD70" s="71">
        <v>15953671.3480126</v>
      </c>
      <c r="AE70" s="71">
        <v>16816560.622366</v>
      </c>
      <c r="AF70" s="728">
        <v>3195872.9613361806</v>
      </c>
      <c r="AG70" s="728">
        <v>862889.27435339987</v>
      </c>
      <c r="AH70" s="728">
        <v>4058762.2356895804</v>
      </c>
      <c r="AI70" s="3">
        <v>0.2505034853563593</v>
      </c>
      <c r="AJ70" s="3">
        <v>0.31813970660708518</v>
      </c>
      <c r="AK70" s="712">
        <f>G70/C70+AK66</f>
        <v>0.24092663151864613</v>
      </c>
      <c r="AL70" s="712">
        <f>I70/C70+AL66</f>
        <v>0.38038354067919677</v>
      </c>
    </row>
    <row r="71" spans="1:38">
      <c r="A71" s="700" t="s">
        <v>512</v>
      </c>
      <c r="C71" s="687">
        <f t="shared" si="5"/>
        <v>3215984.9809550736</v>
      </c>
      <c r="G71" s="710">
        <f>G55*$B$62</f>
        <v>582951.41706082097</v>
      </c>
      <c r="H71" s="710">
        <f t="shared" si="6"/>
        <v>388252.03286316543</v>
      </c>
      <c r="I71" s="710">
        <f t="shared" si="6"/>
        <v>971203.44992398599</v>
      </c>
      <c r="J71" s="711">
        <f>(C71-G71-$G$66)*L71</f>
        <v>1270261.2999782038</v>
      </c>
      <c r="K71" s="711">
        <f t="shared" si="10"/>
        <v>636575.42576472624</v>
      </c>
      <c r="L71" s="712">
        <v>0.6661615453642431</v>
      </c>
      <c r="M71" s="712">
        <v>0.33383845463575679</v>
      </c>
      <c r="N71" s="712">
        <v>0.99999999999999989</v>
      </c>
      <c r="O71" s="711">
        <f t="shared" si="11"/>
        <v>814683.81527383998</v>
      </c>
      <c r="P71" s="713">
        <f t="shared" si="12"/>
        <v>500078.07036371581</v>
      </c>
      <c r="Q71" s="712">
        <v>0.61964362077531832</v>
      </c>
      <c r="R71" s="712">
        <v>0.38035637922468174</v>
      </c>
      <c r="S71" s="712">
        <v>1</v>
      </c>
      <c r="T71" s="714">
        <f>(1-J71/$B$29)*'Talking Point Statistics'!$B$60</f>
        <v>199993.35046234261</v>
      </c>
      <c r="U71" s="714">
        <f>(1-+O71/$B$29)*'Talking Point Statistics'!$B$60</f>
        <v>339890.9402113519</v>
      </c>
      <c r="V71" s="714">
        <f t="shared" si="7"/>
        <v>139897.58974900929</v>
      </c>
      <c r="W71" s="714">
        <f>(1-K71/$B$30)*'Talking Point Statistics'!$E$60</f>
        <v>7185.8799741572802</v>
      </c>
      <c r="X71" s="714">
        <f>(1-P71/$B$30)*'Talking Point Statistics'!$E$60</f>
        <v>9257.88947227065</v>
      </c>
      <c r="Y71" s="714">
        <f t="shared" si="13"/>
        <v>2072.0094981133698</v>
      </c>
      <c r="Z71" s="711">
        <f t="shared" si="8"/>
        <v>2072.0094981133698</v>
      </c>
      <c r="AA71" s="71">
        <v>12688991.7775278</v>
      </c>
      <c r="AB71" s="727">
        <v>12681892.954538053</v>
      </c>
      <c r="AC71" s="71">
        <v>14700674.2862009</v>
      </c>
      <c r="AD71" s="71">
        <v>12931394.496564699</v>
      </c>
      <c r="AE71" s="71">
        <v>10977178.8003169</v>
      </c>
      <c r="AF71" s="728">
        <v>249501.54202664644</v>
      </c>
      <c r="AG71" s="728">
        <v>-1954215.6962477993</v>
      </c>
      <c r="AH71" s="728">
        <v>-1704714.1542211529</v>
      </c>
      <c r="AI71" s="3">
        <v>1.9673840720865372E-2</v>
      </c>
      <c r="AJ71" s="3">
        <v>-0.13442111207941893</v>
      </c>
      <c r="AK71" s="712">
        <f>G71/C71+AK66</f>
        <v>0.40707536352466311</v>
      </c>
      <c r="AL71" s="712">
        <f>I71/C71+AL66</f>
        <v>0.59117909647479072</v>
      </c>
    </row>
    <row r="72" spans="1:38">
      <c r="A72" s="670" t="s">
        <v>575</v>
      </c>
      <c r="C72" s="687">
        <f t="shared" si="5"/>
        <v>3215984.9809550736</v>
      </c>
      <c r="G72" s="670">
        <v>0</v>
      </c>
      <c r="H72" s="670">
        <v>0</v>
      </c>
      <c r="I72" s="670">
        <v>0</v>
      </c>
      <c r="J72" s="711">
        <f>(C72-G72-$G$66)*L72</f>
        <v>1631591.4619931981</v>
      </c>
      <c r="K72" s="711">
        <f t="shared" si="10"/>
        <v>858196.68081055291</v>
      </c>
      <c r="L72" s="715">
        <f>L66</f>
        <v>0.65531337142439061</v>
      </c>
      <c r="M72" s="715">
        <f>M66</f>
        <v>0.34468662857560944</v>
      </c>
      <c r="N72" s="712">
        <v>0.99999999999999989</v>
      </c>
      <c r="O72" s="711">
        <f t="shared" si="11"/>
        <v>1302454.9880430202</v>
      </c>
      <c r="P72" s="713">
        <f t="shared" si="12"/>
        <v>983510.34751852171</v>
      </c>
      <c r="Q72" s="715">
        <f>Q66</f>
        <v>0.56976147791107046</v>
      </c>
      <c r="R72" s="715">
        <f>R66</f>
        <v>0.43023852208892954</v>
      </c>
      <c r="S72" s="712">
        <v>1</v>
      </c>
      <c r="T72" s="714">
        <f>T66</f>
        <v>89036.991847914105</v>
      </c>
      <c r="U72" s="714">
        <f>U66</f>
        <v>190107.3935908745</v>
      </c>
      <c r="V72" s="714">
        <f t="shared" si="7"/>
        <v>101070.4017429604</v>
      </c>
      <c r="W72" s="716">
        <f>W66</f>
        <v>3821.7023746009513</v>
      </c>
      <c r="X72" s="714">
        <f>X66</f>
        <v>1919.4596029406127</v>
      </c>
      <c r="Y72" s="714">
        <f t="shared" si="13"/>
        <v>-1902.2427716603386</v>
      </c>
      <c r="AI72" s="715">
        <f>AI66</f>
        <v>0.25047475679036346</v>
      </c>
      <c r="AJ72" s="715">
        <f>AJ66</f>
        <v>0.31808760162654326</v>
      </c>
      <c r="AK72" s="715">
        <v>0</v>
      </c>
      <c r="AL72" s="715">
        <v>0</v>
      </c>
    </row>
    <row r="73" spans="1:38">
      <c r="G73" s="712"/>
      <c r="I73" s="712"/>
      <c r="K73" s="726"/>
      <c r="P73"/>
    </row>
    <row r="74" spans="1:38">
      <c r="A74" s="697" t="s">
        <v>529</v>
      </c>
    </row>
    <row r="75" spans="1:38" s="721" customFormat="1" ht="62.1" customHeight="1" thickBot="1">
      <c r="A75" s="717" t="s">
        <v>137</v>
      </c>
      <c r="B75" s="717">
        <v>2010</v>
      </c>
      <c r="C75" s="717">
        <v>2017</v>
      </c>
      <c r="D75" s="717">
        <v>2020</v>
      </c>
      <c r="E75" s="717">
        <v>2030</v>
      </c>
      <c r="F75" s="717">
        <v>2050</v>
      </c>
      <c r="G75" s="717" t="s">
        <v>507</v>
      </c>
      <c r="H75" s="717" t="s">
        <v>508</v>
      </c>
      <c r="I75" s="717" t="s">
        <v>509</v>
      </c>
      <c r="J75" s="718" t="s">
        <v>524</v>
      </c>
      <c r="K75" s="719" t="s">
        <v>525</v>
      </c>
      <c r="L75" s="718" t="s">
        <v>520</v>
      </c>
      <c r="M75" s="718" t="s">
        <v>521</v>
      </c>
      <c r="N75" s="718" t="s">
        <v>1</v>
      </c>
      <c r="O75" s="718" t="s">
        <v>522</v>
      </c>
      <c r="P75" s="718" t="s">
        <v>523</v>
      </c>
      <c r="Q75" s="718" t="s">
        <v>520</v>
      </c>
      <c r="R75" s="718" t="s">
        <v>521</v>
      </c>
      <c r="S75" s="718" t="s">
        <v>1</v>
      </c>
      <c r="T75" s="720" t="s">
        <v>545</v>
      </c>
      <c r="U75" s="720" t="s">
        <v>546</v>
      </c>
      <c r="V75" s="720" t="s">
        <v>545</v>
      </c>
      <c r="W75" s="720" t="s">
        <v>546</v>
      </c>
      <c r="X75" s="720" t="s">
        <v>542</v>
      </c>
      <c r="Y75" s="720" t="s">
        <v>543</v>
      </c>
      <c r="Z75" s="720" t="s">
        <v>544</v>
      </c>
      <c r="AA75" s="720" t="s">
        <v>548</v>
      </c>
      <c r="AB75" s="720" t="s">
        <v>549</v>
      </c>
      <c r="AC75" s="720" t="s">
        <v>548</v>
      </c>
      <c r="AD75" s="720" t="s">
        <v>549</v>
      </c>
      <c r="AE75" s="720" t="s">
        <v>542</v>
      </c>
      <c r="AF75" s="720" t="s">
        <v>543</v>
      </c>
      <c r="AG75" s="720" t="s">
        <v>544</v>
      </c>
      <c r="AH75" s="733" t="s">
        <v>572</v>
      </c>
      <c r="AI75" s="733" t="s">
        <v>573</v>
      </c>
      <c r="AJ75" s="734" t="s">
        <v>577</v>
      </c>
      <c r="AK75" s="734" t="s">
        <v>578</v>
      </c>
    </row>
    <row r="76" spans="1:38">
      <c r="A76" s="715" t="str">
        <f>'Dashboard - CEW Scenario'!B28</f>
        <v>City of Portland Preferred Scenario</v>
      </c>
      <c r="C76" s="687">
        <f>C66</f>
        <v>3215984.9809550736</v>
      </c>
      <c r="G76" s="722">
        <f>VLOOKUP(A76, A67:S72,7,FALSE)</f>
        <v>582951.41706082097</v>
      </c>
      <c r="H76" s="722">
        <f>VLOOKUP(A76, A67:S72,8,FALSE)</f>
        <v>388252.03286316543</v>
      </c>
      <c r="I76" s="722">
        <f>VLOOKUP(A76, A67:S72,9,FALSE)</f>
        <v>971203.44992398599</v>
      </c>
      <c r="J76" s="722">
        <f>VLOOKUP(A76, A67:S72,10,FALSE)</f>
        <v>1270261.2999782038</v>
      </c>
      <c r="K76" s="722">
        <f>VLOOKUP(A76, A67:S72,11,FALSE)</f>
        <v>636575.42576472624</v>
      </c>
      <c r="L76" s="723">
        <f>VLOOKUP(A76, A67:S72,12,FALSE)</f>
        <v>0.6661615453642431</v>
      </c>
      <c r="M76" s="723">
        <f>VLOOKUP(A76, A67:S72,13,FALSE)</f>
        <v>0.33383845463575679</v>
      </c>
      <c r="N76" s="687"/>
      <c r="O76" s="722">
        <f>VLOOKUP(A76, A67:S72,15,FALSE)</f>
        <v>814683.81527383998</v>
      </c>
      <c r="P76" s="722">
        <f>VLOOKUP(A76, A67:S72,16,FALSE)</f>
        <v>500078.07036371581</v>
      </c>
      <c r="Q76" s="723">
        <f>VLOOKUP(A76, A67:S72,17,FALSE)</f>
        <v>0.61964362077531832</v>
      </c>
      <c r="R76" s="723">
        <f>VLOOKUP(A76, A67:S72,18,FALSE)</f>
        <v>0.38035637922468174</v>
      </c>
      <c r="T76" s="714">
        <f>VLOOKUP(A76, A67:Y72,20,FALSE)</f>
        <v>199993.35046234261</v>
      </c>
      <c r="U76" s="714">
        <f>VLOOKUP(A76, A67:Y72,22,FALSE)</f>
        <v>139897.58974900929</v>
      </c>
      <c r="V76" s="724">
        <f>T76+(('Talking Point Statistics'!B60-'Transport Data'!T76-U76)*'Dashboard - CEW Scenario'!C30)</f>
        <v>199993.35046234261</v>
      </c>
      <c r="W76" s="724">
        <f>U76+Z76</f>
        <v>390068.64953765739</v>
      </c>
      <c r="X76" s="711">
        <f>'Talking Point Statistics'!B60-'Transport Data'!V76</f>
        <v>390068.64953765739</v>
      </c>
      <c r="Y76" s="687">
        <f>(X76-U76)</f>
        <v>250171.0597886481</v>
      </c>
      <c r="Z76" s="687">
        <f>Y76*('Dashboard - CEW Scenario'!I30)</f>
        <v>250171.0597886481</v>
      </c>
      <c r="AA76" s="670">
        <f>VLOOKUP(A76, A67:Y72,23,FALSE)</f>
        <v>7185.8799741572802</v>
      </c>
      <c r="AB76" s="670">
        <f>VLOOKUP(A76, A67:Z72,26,FALSE)</f>
        <v>2072.0094981133698</v>
      </c>
      <c r="AC76" s="725">
        <f>AA76+(('Talking Point Statistics'!B60-'Transport Data'!AA76-AB76)*'Dashboard - CEW Scenario'!C30)</f>
        <v>7185.8799741572802</v>
      </c>
      <c r="AD76" s="724">
        <f>AB76+AG76</f>
        <v>9663.1200258427198</v>
      </c>
      <c r="AE76" s="711">
        <f>'Talking Point Statistics'!$E$60-'Transport Data'!AC76</f>
        <v>9663.1200258427198</v>
      </c>
      <c r="AF76" s="687">
        <f>(AE76-AB76)</f>
        <v>7591.11052772935</v>
      </c>
      <c r="AG76" s="670">
        <f>AF76*('Dashboard - CEW Scenario'!I34)</f>
        <v>7591.11052772935</v>
      </c>
      <c r="AH76" s="723">
        <f>VLOOKUP(A76, A67:AK72,35,FALSE)</f>
        <v>1.9673840720865372E-2</v>
      </c>
      <c r="AI76" s="723">
        <f>VLOOKUP(A76, A67:AK72,36,FALSE)</f>
        <v>-0.13442111207941893</v>
      </c>
      <c r="AJ76" s="723">
        <f>VLOOKUP(A76, A67:AL72,37,FALSE)</f>
        <v>0.40707536352466311</v>
      </c>
      <c r="AK76" s="723">
        <f>VLOOKUP(A76, A67:AL72,38,FALSE)</f>
        <v>0.59117909647479072</v>
      </c>
    </row>
    <row r="77" spans="1:38">
      <c r="V77" s="687"/>
      <c r="W77" s="716"/>
    </row>
  </sheetData>
  <sheetProtection algorithmName="SHA-512" hashValue="AbcWhtWNk6jVspubu+i+uy+bhO1LTxJF1s9cUoLC1wp/WJnFbyTtqYSd36febCVUvjkgf+Z06cDqBm1bIVOXjA==" saltValue="9pjWdQw3qt7kc58Sj4QbDQ==" spinCount="100000" sheet="1" objects="1" scenarios="1"/>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C6977-28F5-AA44-8BAB-2FDA1DCEF5AE}">
  <sheetPr>
    <tabColor theme="1" tint="0.34998626667073579"/>
  </sheetPr>
  <dimension ref="A1:DW114"/>
  <sheetViews>
    <sheetView showGridLines="0" topLeftCell="A2" zoomScale="50" zoomScaleNormal="50" workbookViewId="0">
      <selection activeCell="J42" sqref="J42"/>
    </sheetView>
  </sheetViews>
  <sheetFormatPr defaultColWidth="10.875" defaultRowHeight="18" outlineLevelCol="1"/>
  <cols>
    <col min="1" max="1" width="2.125" style="274" customWidth="1"/>
    <col min="2" max="2" width="80.875" style="274" customWidth="1"/>
    <col min="3" max="3" width="46.125" style="274" customWidth="1"/>
    <col min="4" max="4" width="14.625" style="290" hidden="1" customWidth="1" outlineLevel="1"/>
    <col min="5" max="5" width="15.125" style="290" hidden="1" customWidth="1" outlineLevel="1"/>
    <col min="6" max="6" width="23.125" style="274" bestFit="1" customWidth="1" collapsed="1"/>
    <col min="7" max="7" width="14.625" style="274" hidden="1" customWidth="1" outlineLevel="1"/>
    <col min="8" max="8" width="15.125" style="290" hidden="1" customWidth="1" outlineLevel="1"/>
    <col min="9" max="9" width="23.125" style="291" bestFit="1" customWidth="1" collapsed="1"/>
    <col min="10" max="10" width="76.625" style="274" customWidth="1"/>
    <col min="11" max="11" width="4.625" style="297" customWidth="1" outlineLevel="1"/>
    <col min="12" max="16" width="10.875" style="274" customWidth="1" outlineLevel="1"/>
    <col min="17" max="17" width="66.875" style="274" customWidth="1" outlineLevel="1"/>
    <col min="18" max="18" width="18" style="274" customWidth="1" outlineLevel="1"/>
    <col min="19" max="19" width="6.5" style="274" customWidth="1" outlineLevel="1"/>
    <col min="20" max="20" width="31" style="274" customWidth="1" outlineLevel="1"/>
    <col min="21" max="21" width="4" style="274" customWidth="1" outlineLevel="1"/>
    <col min="22" max="22" width="34.5" style="274" customWidth="1" outlineLevel="1"/>
    <col min="23" max="23" width="14.875" style="297" customWidth="1"/>
    <col min="24" max="24" width="20.125" style="274" customWidth="1"/>
    <col min="25" max="25" width="10.875" style="274" customWidth="1"/>
    <col min="26" max="26" width="21.625" style="274" customWidth="1"/>
    <col min="27" max="27" width="26.625" style="298" customWidth="1"/>
    <col min="28" max="28" width="12.625" style="274" hidden="1" customWidth="1"/>
    <col min="29" max="30" width="11.5" style="274" hidden="1" customWidth="1"/>
    <col min="31" max="31" width="14" style="298" bestFit="1" customWidth="1"/>
    <col min="32" max="36" width="14" style="298" customWidth="1" outlineLevel="1"/>
    <col min="37" max="37" width="15.25" style="298" customWidth="1" outlineLevel="1"/>
    <col min="38" max="38" width="15.75" style="298" customWidth="1" outlineLevel="1"/>
    <col min="39" max="39" width="14.75" style="298" customWidth="1" outlineLevel="1"/>
    <col min="40" max="40" width="15.5" style="298" customWidth="1" outlineLevel="1"/>
    <col min="41" max="41" width="15.75" style="598" bestFit="1" customWidth="1"/>
    <col min="42" max="42" width="15.25" style="298" customWidth="1" outlineLevel="1"/>
    <col min="43" max="43" width="15.5" style="298" customWidth="1" outlineLevel="1"/>
    <col min="44" max="44" width="15.25" style="298" customWidth="1" outlineLevel="1"/>
    <col min="45" max="45" width="15.5" style="298" customWidth="1" outlineLevel="1"/>
    <col min="46" max="47" width="15.25" style="298" customWidth="1" outlineLevel="1"/>
    <col min="48" max="48" width="16.375" style="298" customWidth="1" outlineLevel="1"/>
    <col min="49" max="50" width="15.25" style="298" customWidth="1" outlineLevel="1"/>
    <col min="51" max="51" width="15.75" style="298" customWidth="1" outlineLevel="1"/>
    <col min="52" max="52" width="15.5" style="298" customWidth="1" outlineLevel="1"/>
    <col min="53" max="53" width="14.75" style="298" customWidth="1" outlineLevel="1"/>
    <col min="54" max="54" width="16.375" style="298" customWidth="1" outlineLevel="1"/>
    <col min="55" max="55" width="15.75" style="298" customWidth="1" outlineLevel="1"/>
    <col min="56" max="56" width="16.375" style="298" customWidth="1" outlineLevel="1"/>
    <col min="57" max="57" width="15.75" style="298" customWidth="1" outlineLevel="1"/>
    <col min="58" max="58" width="16.375" style="298" customWidth="1" outlineLevel="1"/>
    <col min="59" max="59" width="16.125" style="298" customWidth="1" outlineLevel="1"/>
    <col min="60" max="60" width="15.75" style="298" customWidth="1" outlineLevel="1"/>
    <col min="61" max="61" width="16.375" style="598" bestFit="1" customWidth="1"/>
    <col min="62" max="72" width="10.875" style="274" customWidth="1"/>
    <col min="73" max="73" width="10.875" style="298" customWidth="1"/>
    <col min="74" max="74" width="12.625" style="274" customWidth="1"/>
    <col min="75" max="76" width="11.5" style="274" customWidth="1"/>
    <col min="77" max="77" width="15.25" style="274" bestFit="1" customWidth="1"/>
    <col min="78" max="83" width="11.5" style="274" hidden="1" customWidth="1" outlineLevel="1"/>
    <col min="84" max="86" width="13.125" style="274" hidden="1" customWidth="1" outlineLevel="1"/>
    <col min="87" max="87" width="15.25" style="264" bestFit="1" customWidth="1" collapsed="1"/>
    <col min="88" max="105" width="12.625" style="274" hidden="1" customWidth="1" outlineLevel="1"/>
    <col min="106" max="106" width="14.125" style="274" bestFit="1" customWidth="1" outlineLevel="1"/>
    <col min="107" max="107" width="15.25" style="264" bestFit="1" customWidth="1"/>
    <col min="108" max="112" width="13.875" style="274" customWidth="1"/>
    <col min="113" max="113" width="4.125" style="297" customWidth="1"/>
    <col min="114" max="116" width="13.875" style="274" customWidth="1"/>
    <col min="117" max="117" width="13.875" style="297" customWidth="1"/>
    <col min="118" max="118" width="13.875" style="274" customWidth="1"/>
    <col min="119" max="123" width="10.875" style="274" customWidth="1"/>
    <col min="124" max="124" width="32.875" style="274" customWidth="1"/>
    <col min="125" max="127" width="10.875" style="274" customWidth="1"/>
    <col min="128" max="16384" width="10.875" style="274"/>
  </cols>
  <sheetData>
    <row r="1" spans="2:127" s="259" customFormat="1" hidden="1">
      <c r="C1" s="381"/>
      <c r="I1" s="260"/>
      <c r="K1" s="382"/>
      <c r="W1" s="382"/>
      <c r="AA1" s="383" t="s">
        <v>455</v>
      </c>
      <c r="AE1" s="259">
        <f t="shared" ref="AE1:AT4" si="0">BY1</f>
        <v>3</v>
      </c>
      <c r="AF1" s="259">
        <f t="shared" si="0"/>
        <v>4</v>
      </c>
      <c r="AG1" s="259">
        <f t="shared" si="0"/>
        <v>5</v>
      </c>
      <c r="AH1" s="259">
        <f t="shared" si="0"/>
        <v>6</v>
      </c>
      <c r="AI1" s="259">
        <f t="shared" si="0"/>
        <v>7</v>
      </c>
      <c r="AJ1" s="259">
        <f t="shared" si="0"/>
        <v>8</v>
      </c>
      <c r="AK1" s="259">
        <f t="shared" si="0"/>
        <v>9</v>
      </c>
      <c r="AL1" s="259">
        <f t="shared" si="0"/>
        <v>10</v>
      </c>
      <c r="AM1" s="259">
        <f t="shared" si="0"/>
        <v>11</v>
      </c>
      <c r="AN1" s="259">
        <f t="shared" si="0"/>
        <v>12</v>
      </c>
      <c r="AO1" s="384">
        <f t="shared" si="0"/>
        <v>13</v>
      </c>
      <c r="AP1" s="259">
        <f t="shared" si="0"/>
        <v>14</v>
      </c>
      <c r="AQ1" s="259">
        <f t="shared" si="0"/>
        <v>15</v>
      </c>
      <c r="AR1" s="259">
        <f t="shared" si="0"/>
        <v>16</v>
      </c>
      <c r="AS1" s="259">
        <f t="shared" si="0"/>
        <v>17</v>
      </c>
      <c r="AT1" s="259">
        <f t="shared" si="0"/>
        <v>18</v>
      </c>
      <c r="AU1" s="259">
        <f t="shared" ref="AU1:BI4" si="1">CO1</f>
        <v>19</v>
      </c>
      <c r="AV1" s="259">
        <f t="shared" si="1"/>
        <v>20</v>
      </c>
      <c r="AW1" s="259">
        <f t="shared" si="1"/>
        <v>21</v>
      </c>
      <c r="AX1" s="259">
        <f t="shared" si="1"/>
        <v>22</v>
      </c>
      <c r="AY1" s="259">
        <f t="shared" si="1"/>
        <v>23</v>
      </c>
      <c r="AZ1" s="259">
        <f t="shared" si="1"/>
        <v>24</v>
      </c>
      <c r="BA1" s="259">
        <f t="shared" si="1"/>
        <v>25</v>
      </c>
      <c r="BB1" s="259">
        <f t="shared" si="1"/>
        <v>26</v>
      </c>
      <c r="BC1" s="259">
        <f t="shared" si="1"/>
        <v>27</v>
      </c>
      <c r="BD1" s="259">
        <f t="shared" si="1"/>
        <v>28</v>
      </c>
      <c r="BE1" s="259">
        <f t="shared" si="1"/>
        <v>29</v>
      </c>
      <c r="BF1" s="259">
        <f t="shared" si="1"/>
        <v>30</v>
      </c>
      <c r="BG1" s="259">
        <f t="shared" si="1"/>
        <v>31</v>
      </c>
      <c r="BH1" s="259">
        <f t="shared" si="1"/>
        <v>32</v>
      </c>
      <c r="BI1" s="384">
        <f t="shared" si="1"/>
        <v>33</v>
      </c>
      <c r="BS1" s="385"/>
      <c r="BT1" s="385"/>
      <c r="BU1" s="386" t="s">
        <v>338</v>
      </c>
      <c r="BV1" s="385"/>
      <c r="BW1" s="385">
        <f t="shared" ref="BW1:DC1" si="2">BW2-$BV$2</f>
        <v>1</v>
      </c>
      <c r="BX1" s="385">
        <f t="shared" si="2"/>
        <v>2</v>
      </c>
      <c r="BY1" s="385">
        <f t="shared" si="2"/>
        <v>3</v>
      </c>
      <c r="BZ1" s="385">
        <f t="shared" si="2"/>
        <v>4</v>
      </c>
      <c r="CA1" s="385">
        <f t="shared" si="2"/>
        <v>5</v>
      </c>
      <c r="CB1" s="385">
        <f t="shared" si="2"/>
        <v>6</v>
      </c>
      <c r="CC1" s="385">
        <f t="shared" si="2"/>
        <v>7</v>
      </c>
      <c r="CD1" s="385">
        <f t="shared" si="2"/>
        <v>8</v>
      </c>
      <c r="CE1" s="385">
        <f t="shared" si="2"/>
        <v>9</v>
      </c>
      <c r="CF1" s="385">
        <f t="shared" si="2"/>
        <v>10</v>
      </c>
      <c r="CG1" s="385">
        <f t="shared" si="2"/>
        <v>11</v>
      </c>
      <c r="CH1" s="385">
        <f t="shared" si="2"/>
        <v>12</v>
      </c>
      <c r="CI1" s="387">
        <f t="shared" si="2"/>
        <v>13</v>
      </c>
      <c r="CJ1" s="385">
        <f t="shared" si="2"/>
        <v>14</v>
      </c>
      <c r="CK1" s="385">
        <f t="shared" si="2"/>
        <v>15</v>
      </c>
      <c r="CL1" s="385">
        <f t="shared" si="2"/>
        <v>16</v>
      </c>
      <c r="CM1" s="385">
        <f t="shared" si="2"/>
        <v>17</v>
      </c>
      <c r="CN1" s="385">
        <f t="shared" si="2"/>
        <v>18</v>
      </c>
      <c r="CO1" s="385">
        <f t="shared" si="2"/>
        <v>19</v>
      </c>
      <c r="CP1" s="385">
        <f t="shared" si="2"/>
        <v>20</v>
      </c>
      <c r="CQ1" s="385">
        <f t="shared" si="2"/>
        <v>21</v>
      </c>
      <c r="CR1" s="385">
        <f t="shared" si="2"/>
        <v>22</v>
      </c>
      <c r="CS1" s="385">
        <f t="shared" si="2"/>
        <v>23</v>
      </c>
      <c r="CT1" s="385">
        <f t="shared" si="2"/>
        <v>24</v>
      </c>
      <c r="CU1" s="385">
        <f t="shared" si="2"/>
        <v>25</v>
      </c>
      <c r="CV1" s="385">
        <f t="shared" si="2"/>
        <v>26</v>
      </c>
      <c r="CW1" s="385">
        <f t="shared" si="2"/>
        <v>27</v>
      </c>
      <c r="CX1" s="385">
        <f t="shared" si="2"/>
        <v>28</v>
      </c>
      <c r="CY1" s="385">
        <f t="shared" si="2"/>
        <v>29</v>
      </c>
      <c r="CZ1" s="385">
        <f t="shared" si="2"/>
        <v>30</v>
      </c>
      <c r="DA1" s="385">
        <f t="shared" si="2"/>
        <v>31</v>
      </c>
      <c r="DB1" s="385">
        <f t="shared" si="2"/>
        <v>32</v>
      </c>
      <c r="DC1" s="387">
        <f t="shared" si="2"/>
        <v>33</v>
      </c>
      <c r="DD1" s="385"/>
      <c r="DE1" s="385"/>
      <c r="DF1" s="385"/>
      <c r="DG1" s="385"/>
      <c r="DH1" s="385"/>
      <c r="DI1" s="385"/>
      <c r="DJ1" s="385"/>
      <c r="DK1" s="385"/>
      <c r="DL1" s="385"/>
      <c r="DM1" s="382"/>
      <c r="DT1" s="388" t="s">
        <v>446</v>
      </c>
      <c r="DU1" s="389"/>
      <c r="DV1" s="389"/>
      <c r="DW1" s="390"/>
    </row>
    <row r="2" spans="2:127" s="264" customFormat="1" ht="29.1" customHeight="1">
      <c r="B2" s="374" t="s">
        <v>457</v>
      </c>
      <c r="C2" s="375" t="s">
        <v>279</v>
      </c>
      <c r="D2" s="263"/>
      <c r="E2" s="263"/>
      <c r="H2" s="263"/>
      <c r="I2" s="265"/>
      <c r="J2" s="266"/>
      <c r="K2" s="267"/>
      <c r="W2" s="268"/>
      <c r="AA2" s="268"/>
      <c r="AE2" s="575">
        <f t="shared" si="0"/>
        <v>2020</v>
      </c>
      <c r="AF2" s="598">
        <f t="shared" si="0"/>
        <v>2021</v>
      </c>
      <c r="AG2" s="598">
        <f t="shared" si="0"/>
        <v>2022</v>
      </c>
      <c r="AH2" s="598">
        <f t="shared" si="0"/>
        <v>2023</v>
      </c>
      <c r="AI2" s="598">
        <f t="shared" si="0"/>
        <v>2024</v>
      </c>
      <c r="AJ2" s="598">
        <f t="shared" si="0"/>
        <v>2025</v>
      </c>
      <c r="AK2" s="598">
        <f t="shared" si="0"/>
        <v>2026</v>
      </c>
      <c r="AL2" s="598">
        <f t="shared" si="0"/>
        <v>2027</v>
      </c>
      <c r="AM2" s="598">
        <f t="shared" si="0"/>
        <v>2028</v>
      </c>
      <c r="AN2" s="598">
        <f t="shared" si="0"/>
        <v>2029</v>
      </c>
      <c r="AO2" s="575">
        <f t="shared" si="0"/>
        <v>2030</v>
      </c>
      <c r="AP2" s="598">
        <f t="shared" si="0"/>
        <v>2031</v>
      </c>
      <c r="AQ2" s="598">
        <f t="shared" si="0"/>
        <v>2032</v>
      </c>
      <c r="AR2" s="598">
        <f t="shared" si="0"/>
        <v>2033</v>
      </c>
      <c r="AS2" s="598">
        <f t="shared" si="0"/>
        <v>2034</v>
      </c>
      <c r="AT2" s="598">
        <f t="shared" si="0"/>
        <v>2035</v>
      </c>
      <c r="AU2" s="598">
        <f t="shared" si="1"/>
        <v>2036</v>
      </c>
      <c r="AV2" s="598">
        <f t="shared" si="1"/>
        <v>2037</v>
      </c>
      <c r="AW2" s="598">
        <f t="shared" si="1"/>
        <v>2038</v>
      </c>
      <c r="AX2" s="598">
        <f t="shared" si="1"/>
        <v>2039</v>
      </c>
      <c r="AY2" s="598">
        <f t="shared" si="1"/>
        <v>2040</v>
      </c>
      <c r="AZ2" s="598">
        <f t="shared" si="1"/>
        <v>2041</v>
      </c>
      <c r="BA2" s="598">
        <f t="shared" si="1"/>
        <v>2042</v>
      </c>
      <c r="BB2" s="598">
        <f t="shared" si="1"/>
        <v>2043</v>
      </c>
      <c r="BC2" s="598">
        <f t="shared" si="1"/>
        <v>2044</v>
      </c>
      <c r="BD2" s="598">
        <f t="shared" si="1"/>
        <v>2045</v>
      </c>
      <c r="BE2" s="598">
        <f t="shared" si="1"/>
        <v>2046</v>
      </c>
      <c r="BF2" s="598">
        <f t="shared" si="1"/>
        <v>2047</v>
      </c>
      <c r="BG2" s="598">
        <f t="shared" si="1"/>
        <v>2048</v>
      </c>
      <c r="BH2" s="598">
        <f t="shared" si="1"/>
        <v>2049</v>
      </c>
      <c r="BI2" s="575">
        <f t="shared" si="1"/>
        <v>2050</v>
      </c>
      <c r="BR2" s="269"/>
      <c r="BS2" s="269"/>
      <c r="BT2" s="269"/>
      <c r="BU2" s="270" t="s">
        <v>26</v>
      </c>
      <c r="BV2" s="269">
        <v>2017</v>
      </c>
      <c r="BW2" s="269">
        <v>2018</v>
      </c>
      <c r="BX2" s="269">
        <v>2019</v>
      </c>
      <c r="BY2" s="271">
        <v>2020</v>
      </c>
      <c r="BZ2" s="269">
        <v>2021</v>
      </c>
      <c r="CA2" s="269">
        <v>2022</v>
      </c>
      <c r="CB2" s="269">
        <v>2023</v>
      </c>
      <c r="CC2" s="269">
        <v>2024</v>
      </c>
      <c r="CD2" s="269">
        <v>2025</v>
      </c>
      <c r="CE2" s="269">
        <v>2026</v>
      </c>
      <c r="CF2" s="269">
        <v>2027</v>
      </c>
      <c r="CG2" s="269">
        <v>2028</v>
      </c>
      <c r="CH2" s="269">
        <v>2029</v>
      </c>
      <c r="CI2" s="271">
        <v>2030</v>
      </c>
      <c r="CJ2" s="269">
        <v>2031</v>
      </c>
      <c r="CK2" s="269">
        <v>2032</v>
      </c>
      <c r="CL2" s="269">
        <v>2033</v>
      </c>
      <c r="CM2" s="269">
        <v>2034</v>
      </c>
      <c r="CN2" s="269">
        <v>2035</v>
      </c>
      <c r="CO2" s="269">
        <v>2036</v>
      </c>
      <c r="CP2" s="269">
        <v>2037</v>
      </c>
      <c r="CQ2" s="269">
        <v>2038</v>
      </c>
      <c r="CR2" s="269">
        <v>2039</v>
      </c>
      <c r="CS2" s="269">
        <v>2040</v>
      </c>
      <c r="CT2" s="269">
        <v>2041</v>
      </c>
      <c r="CU2" s="269">
        <v>2042</v>
      </c>
      <c r="CV2" s="269">
        <v>2043</v>
      </c>
      <c r="CW2" s="269">
        <v>2044</v>
      </c>
      <c r="CX2" s="269">
        <v>2045</v>
      </c>
      <c r="CY2" s="269">
        <v>2046</v>
      </c>
      <c r="CZ2" s="269">
        <v>2047</v>
      </c>
      <c r="DA2" s="269">
        <v>2048</v>
      </c>
      <c r="DB2" s="269">
        <v>2049</v>
      </c>
      <c r="DC2" s="271">
        <v>2050</v>
      </c>
      <c r="DD2" s="272" t="s">
        <v>223</v>
      </c>
      <c r="DE2" s="272" t="s">
        <v>224</v>
      </c>
      <c r="DF2" s="272" t="s">
        <v>225</v>
      </c>
      <c r="DG2" s="272" t="s">
        <v>226</v>
      </c>
      <c r="DH2" s="272" t="s">
        <v>227</v>
      </c>
      <c r="DI2" s="272"/>
      <c r="DJ2" s="272" t="s">
        <v>221</v>
      </c>
      <c r="DK2" s="272" t="s">
        <v>222</v>
      </c>
      <c r="DL2" s="272" t="s">
        <v>229</v>
      </c>
      <c r="DM2" s="379" t="s">
        <v>230</v>
      </c>
      <c r="DN2" s="273" t="s">
        <v>228</v>
      </c>
      <c r="DT2" s="647" t="s">
        <v>449</v>
      </c>
      <c r="DU2" s="648" t="s">
        <v>450</v>
      </c>
      <c r="DV2" s="649"/>
      <c r="DW2" s="650"/>
    </row>
    <row r="3" spans="2:127" s="264" customFormat="1" ht="11.1" customHeight="1">
      <c r="B3" s="261"/>
      <c r="C3" s="262"/>
      <c r="D3" s="263"/>
      <c r="E3" s="263"/>
      <c r="H3" s="263"/>
      <c r="I3" s="265"/>
      <c r="J3" s="266"/>
      <c r="K3" s="267"/>
      <c r="W3" s="268"/>
      <c r="Z3" s="269"/>
      <c r="AA3" s="269" t="s">
        <v>346</v>
      </c>
      <c r="AB3" s="269"/>
      <c r="AC3" s="269"/>
      <c r="AD3" s="269"/>
      <c r="AE3" s="576">
        <f>'2030 Goal Calculation'!$B$34</f>
        <v>10523632.336454885</v>
      </c>
      <c r="AF3" s="599">
        <f>'2030 Goal Calculation'!$B$34</f>
        <v>10523632.336454885</v>
      </c>
      <c r="AG3" s="599">
        <f>'2030 Goal Calculation'!$B$34</f>
        <v>10523632.336454885</v>
      </c>
      <c r="AH3" s="599">
        <f>'2030 Goal Calculation'!$B$34</f>
        <v>10523632.336454885</v>
      </c>
      <c r="AI3" s="599">
        <f>'2030 Goal Calculation'!$B$34</f>
        <v>10523632.336454885</v>
      </c>
      <c r="AJ3" s="599">
        <f>'2030 Goal Calculation'!$B$34</f>
        <v>10523632.336454885</v>
      </c>
      <c r="AK3" s="599">
        <f>'2030 Goal Calculation'!$B$34</f>
        <v>10523632.336454885</v>
      </c>
      <c r="AL3" s="599">
        <f>'2030 Goal Calculation'!$B$34</f>
        <v>10523632.336454885</v>
      </c>
      <c r="AM3" s="599">
        <f>'2030 Goal Calculation'!$B$34</f>
        <v>10523632.336454885</v>
      </c>
      <c r="AN3" s="599">
        <f>'2030 Goal Calculation'!$B$34</f>
        <v>10523632.336454885</v>
      </c>
      <c r="AO3" s="576">
        <f>'2030 Goal Calculation'!$B$34</f>
        <v>10523632.336454885</v>
      </c>
      <c r="AP3" s="600">
        <f>'2030 Goal Calculation'!$B$34</f>
        <v>10523632.336454885</v>
      </c>
      <c r="AQ3" s="600">
        <f>'2030 Goal Calculation'!$B$34</f>
        <v>10523632.336454885</v>
      </c>
      <c r="AR3" s="600">
        <f>'2030 Goal Calculation'!$B$34</f>
        <v>10523632.336454885</v>
      </c>
      <c r="AS3" s="600">
        <f>'2030 Goal Calculation'!$B$34</f>
        <v>10523632.336454885</v>
      </c>
      <c r="AT3" s="600">
        <f>'2030 Goal Calculation'!$B$34</f>
        <v>10523632.336454885</v>
      </c>
      <c r="AU3" s="600">
        <f>'2030 Goal Calculation'!$B$34</f>
        <v>10523632.336454885</v>
      </c>
      <c r="AV3" s="600">
        <f>'2030 Goal Calculation'!$B$34</f>
        <v>10523632.336454885</v>
      </c>
      <c r="AW3" s="600">
        <f>'2030 Goal Calculation'!$B$34</f>
        <v>10523632.336454885</v>
      </c>
      <c r="AX3" s="600">
        <f>'2030 Goal Calculation'!$B$34</f>
        <v>10523632.336454885</v>
      </c>
      <c r="AY3" s="600">
        <f>'2030 Goal Calculation'!$B$34</f>
        <v>10523632.336454885</v>
      </c>
      <c r="AZ3" s="600">
        <f>'2030 Goal Calculation'!$B$34</f>
        <v>10523632.336454885</v>
      </c>
      <c r="BA3" s="600">
        <f>'2030 Goal Calculation'!$B$34</f>
        <v>10523632.336454885</v>
      </c>
      <c r="BB3" s="600">
        <f>'2030 Goal Calculation'!$B$34</f>
        <v>10523632.336454885</v>
      </c>
      <c r="BC3" s="600">
        <f>'2030 Goal Calculation'!$B$34</f>
        <v>10523632.336454885</v>
      </c>
      <c r="BD3" s="600">
        <f>'2030 Goal Calculation'!$B$34</f>
        <v>10523632.336454885</v>
      </c>
      <c r="BE3" s="600">
        <f>'2030 Goal Calculation'!$B$34</f>
        <v>10523632.336454885</v>
      </c>
      <c r="BF3" s="600">
        <f>'2030 Goal Calculation'!$B$34</f>
        <v>10523632.336454885</v>
      </c>
      <c r="BG3" s="600">
        <f>'2030 Goal Calculation'!$B$34</f>
        <v>10523632.336454885</v>
      </c>
      <c r="BH3" s="600">
        <f>'2030 Goal Calculation'!$B$34</f>
        <v>10523632.336454885</v>
      </c>
      <c r="BI3" s="576">
        <f>'2030 Goal Calculation'!$B$34</f>
        <v>10523632.336454885</v>
      </c>
      <c r="BR3" s="269"/>
      <c r="BS3" s="269"/>
      <c r="BT3" s="269" t="s">
        <v>346</v>
      </c>
      <c r="BU3" s="270"/>
      <c r="BV3" s="269"/>
      <c r="BW3" s="269"/>
      <c r="BX3" s="269"/>
      <c r="BY3" s="303">
        <f>'2030 Goal Calculation'!$B$34</f>
        <v>10523632.336454885</v>
      </c>
      <c r="BZ3" s="304">
        <f>'2030 Goal Calculation'!$B$34</f>
        <v>10523632.336454885</v>
      </c>
      <c r="CA3" s="304">
        <f>'2030 Goal Calculation'!$B$34</f>
        <v>10523632.336454885</v>
      </c>
      <c r="CB3" s="304">
        <f>'2030 Goal Calculation'!$B$34</f>
        <v>10523632.336454885</v>
      </c>
      <c r="CC3" s="304">
        <f>'2030 Goal Calculation'!$B$34</f>
        <v>10523632.336454885</v>
      </c>
      <c r="CD3" s="304">
        <f>'2030 Goal Calculation'!$B$34</f>
        <v>10523632.336454885</v>
      </c>
      <c r="CE3" s="304">
        <f>'2030 Goal Calculation'!$B$34</f>
        <v>10523632.336454885</v>
      </c>
      <c r="CF3" s="304">
        <f>'2030 Goal Calculation'!$B$34</f>
        <v>10523632.336454885</v>
      </c>
      <c r="CG3" s="304">
        <f>'2030 Goal Calculation'!$B$34</f>
        <v>10523632.336454885</v>
      </c>
      <c r="CH3" s="304">
        <f>'2030 Goal Calculation'!$B$34</f>
        <v>10523632.336454885</v>
      </c>
      <c r="CI3" s="303">
        <f>'2030 Goal Calculation'!$B$34</f>
        <v>10523632.336454885</v>
      </c>
      <c r="CJ3" s="304">
        <f>'2030 Goal Calculation'!$B$34</f>
        <v>10523632.336454885</v>
      </c>
      <c r="CK3" s="304">
        <f>'2030 Goal Calculation'!$B$34</f>
        <v>10523632.336454885</v>
      </c>
      <c r="CL3" s="304">
        <f>'2030 Goal Calculation'!$B$34</f>
        <v>10523632.336454885</v>
      </c>
      <c r="CM3" s="304">
        <f>'2030 Goal Calculation'!$B$34</f>
        <v>10523632.336454885</v>
      </c>
      <c r="CN3" s="304">
        <f>'2030 Goal Calculation'!$B$34</f>
        <v>10523632.336454885</v>
      </c>
      <c r="CO3" s="304">
        <f>'2030 Goal Calculation'!$B$34</f>
        <v>10523632.336454885</v>
      </c>
      <c r="CP3" s="304">
        <f>'2030 Goal Calculation'!$B$34</f>
        <v>10523632.336454885</v>
      </c>
      <c r="CQ3" s="304">
        <f>'2030 Goal Calculation'!$B$34</f>
        <v>10523632.336454885</v>
      </c>
      <c r="CR3" s="304">
        <f>'2030 Goal Calculation'!$B$34</f>
        <v>10523632.336454885</v>
      </c>
      <c r="CS3" s="304">
        <f>'2030 Goal Calculation'!$B$34</f>
        <v>10523632.336454885</v>
      </c>
      <c r="CT3" s="304">
        <f>'2030 Goal Calculation'!$B$34</f>
        <v>10523632.336454885</v>
      </c>
      <c r="CU3" s="304">
        <f>'2030 Goal Calculation'!$B$34</f>
        <v>10523632.336454885</v>
      </c>
      <c r="CV3" s="304">
        <f>'2030 Goal Calculation'!$B$34</f>
        <v>10523632.336454885</v>
      </c>
      <c r="CW3" s="304">
        <f>'2030 Goal Calculation'!$B$34</f>
        <v>10523632.336454885</v>
      </c>
      <c r="CX3" s="304">
        <f>'2030 Goal Calculation'!$B$34</f>
        <v>10523632.336454885</v>
      </c>
      <c r="CY3" s="304">
        <f>'2030 Goal Calculation'!$B$34</f>
        <v>10523632.336454885</v>
      </c>
      <c r="CZ3" s="304">
        <f>'2030 Goal Calculation'!$B$34</f>
        <v>10523632.336454885</v>
      </c>
      <c r="DA3" s="304">
        <f>'2030 Goal Calculation'!$B$34</f>
        <v>10523632.336454885</v>
      </c>
      <c r="DB3" s="304">
        <f>'2030 Goal Calculation'!$B$34</f>
        <v>10523632.336454885</v>
      </c>
      <c r="DC3" s="303">
        <f>'2030 Goal Calculation'!$B$34</f>
        <v>10523632.336454885</v>
      </c>
      <c r="DD3" s="272"/>
      <c r="DE3" s="272"/>
      <c r="DF3" s="272"/>
      <c r="DG3" s="272"/>
      <c r="DH3" s="272"/>
      <c r="DI3" s="272"/>
      <c r="DJ3" s="272"/>
      <c r="DK3" s="272"/>
      <c r="DL3" s="272"/>
      <c r="DM3" s="379"/>
      <c r="DN3" s="273"/>
      <c r="DT3" s="332" t="s">
        <v>575</v>
      </c>
      <c r="DU3" s="333" t="s">
        <v>447</v>
      </c>
      <c r="DV3" s="280"/>
      <c r="DW3" s="334"/>
    </row>
    <row r="4" spans="2:127" ht="57" customHeight="1">
      <c r="B4" s="371" t="s">
        <v>282</v>
      </c>
      <c r="C4" s="372" t="s">
        <v>456</v>
      </c>
      <c r="D4" s="276" t="s">
        <v>231</v>
      </c>
      <c r="E4" s="276" t="s">
        <v>232</v>
      </c>
      <c r="F4" s="372" t="s">
        <v>460</v>
      </c>
      <c r="G4" s="276" t="s">
        <v>234</v>
      </c>
      <c r="H4" s="279" t="s">
        <v>233</v>
      </c>
      <c r="I4" s="373" t="s">
        <v>339</v>
      </c>
      <c r="J4" s="371" t="s">
        <v>247</v>
      </c>
      <c r="M4" s="297"/>
      <c r="W4" s="268"/>
      <c r="AA4" s="298" t="str">
        <f>BU4</f>
        <v>2017 GHG Emissions</v>
      </c>
      <c r="AB4" s="299"/>
      <c r="AC4" s="300"/>
      <c r="AD4" s="300"/>
      <c r="AE4" s="576">
        <f>'2030 Goal Calculation'!P34</f>
        <v>8880193.841885563</v>
      </c>
      <c r="AF4" s="600">
        <f t="shared" si="0"/>
        <v>8880193.8418855593</v>
      </c>
      <c r="AG4" s="600">
        <f t="shared" si="0"/>
        <v>8880193.8418855593</v>
      </c>
      <c r="AH4" s="600">
        <f t="shared" si="0"/>
        <v>8880193.8418855593</v>
      </c>
      <c r="AI4" s="600">
        <f t="shared" si="0"/>
        <v>8880193.8418855593</v>
      </c>
      <c r="AJ4" s="600">
        <f t="shared" si="0"/>
        <v>8880193.8418855593</v>
      </c>
      <c r="AK4" s="600">
        <f t="shared" si="0"/>
        <v>8880193.8418855593</v>
      </c>
      <c r="AL4" s="600">
        <f t="shared" si="0"/>
        <v>8880193.8418855593</v>
      </c>
      <c r="AM4" s="600">
        <f t="shared" si="0"/>
        <v>8880193.8418855593</v>
      </c>
      <c r="AN4" s="600">
        <f t="shared" si="0"/>
        <v>8880193.8418855593</v>
      </c>
      <c r="AO4" s="576">
        <f t="shared" si="0"/>
        <v>8880193.8418855593</v>
      </c>
      <c r="AP4" s="600">
        <f t="shared" si="0"/>
        <v>8880193.8418855593</v>
      </c>
      <c r="AQ4" s="600">
        <f t="shared" si="0"/>
        <v>8880193.8418855593</v>
      </c>
      <c r="AR4" s="600">
        <f t="shared" si="0"/>
        <v>8880193.8418855593</v>
      </c>
      <c r="AS4" s="600">
        <f t="shared" si="0"/>
        <v>8880193.8418855593</v>
      </c>
      <c r="AT4" s="600">
        <f t="shared" si="0"/>
        <v>8880193.8418855593</v>
      </c>
      <c r="AU4" s="600">
        <f t="shared" si="1"/>
        <v>8880193.8418855593</v>
      </c>
      <c r="AV4" s="600">
        <f t="shared" si="1"/>
        <v>8880193.8418855593</v>
      </c>
      <c r="AW4" s="600">
        <f t="shared" si="1"/>
        <v>8880193.8418855593</v>
      </c>
      <c r="AX4" s="600">
        <f t="shared" si="1"/>
        <v>8880193.8418855593</v>
      </c>
      <c r="AY4" s="600">
        <f t="shared" si="1"/>
        <v>8880193.8418855593</v>
      </c>
      <c r="AZ4" s="600">
        <f t="shared" si="1"/>
        <v>8880193.8418855593</v>
      </c>
      <c r="BA4" s="600">
        <f t="shared" si="1"/>
        <v>8880193.8418855593</v>
      </c>
      <c r="BB4" s="600">
        <f t="shared" si="1"/>
        <v>8880193.8418855593</v>
      </c>
      <c r="BC4" s="600">
        <f t="shared" si="1"/>
        <v>8880193.8418855593</v>
      </c>
      <c r="BD4" s="600">
        <f t="shared" si="1"/>
        <v>8880193.8418855593</v>
      </c>
      <c r="BE4" s="600">
        <f t="shared" si="1"/>
        <v>8880193.8418855593</v>
      </c>
      <c r="BF4" s="600">
        <f t="shared" si="1"/>
        <v>8880193.8418855593</v>
      </c>
      <c r="BG4" s="600">
        <f t="shared" si="1"/>
        <v>8880193.8418855593</v>
      </c>
      <c r="BH4" s="600">
        <f t="shared" si="1"/>
        <v>8880193.8418855593</v>
      </c>
      <c r="BI4" s="576">
        <f t="shared" si="1"/>
        <v>8880193.8418855593</v>
      </c>
      <c r="BR4" s="301"/>
      <c r="BS4" s="301"/>
      <c r="BT4" s="301"/>
      <c r="BU4" s="270" t="s">
        <v>254</v>
      </c>
      <c r="BV4" s="302"/>
      <c r="BW4" s="302"/>
      <c r="BX4" s="302"/>
      <c r="BY4" s="303">
        <v>8880193.8418855593</v>
      </c>
      <c r="BZ4" s="302">
        <f t="shared" ref="BZ4:DC4" si="3">BY4</f>
        <v>8880193.8418855593</v>
      </c>
      <c r="CA4" s="302">
        <f t="shared" si="3"/>
        <v>8880193.8418855593</v>
      </c>
      <c r="CB4" s="302">
        <f t="shared" si="3"/>
        <v>8880193.8418855593</v>
      </c>
      <c r="CC4" s="302">
        <f t="shared" si="3"/>
        <v>8880193.8418855593</v>
      </c>
      <c r="CD4" s="302">
        <f t="shared" si="3"/>
        <v>8880193.8418855593</v>
      </c>
      <c r="CE4" s="302">
        <f t="shared" si="3"/>
        <v>8880193.8418855593</v>
      </c>
      <c r="CF4" s="302">
        <f t="shared" si="3"/>
        <v>8880193.8418855593</v>
      </c>
      <c r="CG4" s="302">
        <f t="shared" si="3"/>
        <v>8880193.8418855593</v>
      </c>
      <c r="CH4" s="302">
        <f t="shared" si="3"/>
        <v>8880193.8418855593</v>
      </c>
      <c r="CI4" s="303">
        <f t="shared" si="3"/>
        <v>8880193.8418855593</v>
      </c>
      <c r="CJ4" s="302">
        <f t="shared" si="3"/>
        <v>8880193.8418855593</v>
      </c>
      <c r="CK4" s="302">
        <f t="shared" si="3"/>
        <v>8880193.8418855593</v>
      </c>
      <c r="CL4" s="302">
        <f t="shared" si="3"/>
        <v>8880193.8418855593</v>
      </c>
      <c r="CM4" s="302">
        <f t="shared" si="3"/>
        <v>8880193.8418855593</v>
      </c>
      <c r="CN4" s="302">
        <f t="shared" si="3"/>
        <v>8880193.8418855593</v>
      </c>
      <c r="CO4" s="302">
        <f t="shared" si="3"/>
        <v>8880193.8418855593</v>
      </c>
      <c r="CP4" s="302">
        <f t="shared" si="3"/>
        <v>8880193.8418855593</v>
      </c>
      <c r="CQ4" s="302">
        <f t="shared" si="3"/>
        <v>8880193.8418855593</v>
      </c>
      <c r="CR4" s="302">
        <f t="shared" si="3"/>
        <v>8880193.8418855593</v>
      </c>
      <c r="CS4" s="302">
        <f t="shared" si="3"/>
        <v>8880193.8418855593</v>
      </c>
      <c r="CT4" s="302">
        <f t="shared" si="3"/>
        <v>8880193.8418855593</v>
      </c>
      <c r="CU4" s="302">
        <f t="shared" si="3"/>
        <v>8880193.8418855593</v>
      </c>
      <c r="CV4" s="302">
        <f t="shared" si="3"/>
        <v>8880193.8418855593</v>
      </c>
      <c r="CW4" s="302">
        <f t="shared" si="3"/>
        <v>8880193.8418855593</v>
      </c>
      <c r="CX4" s="302">
        <f t="shared" si="3"/>
        <v>8880193.8418855593</v>
      </c>
      <c r="CY4" s="302">
        <f t="shared" si="3"/>
        <v>8880193.8418855593</v>
      </c>
      <c r="CZ4" s="302">
        <f t="shared" si="3"/>
        <v>8880193.8418855593</v>
      </c>
      <c r="DA4" s="302">
        <f t="shared" si="3"/>
        <v>8880193.8418855593</v>
      </c>
      <c r="DB4" s="302">
        <f t="shared" si="3"/>
        <v>8880193.8418855593</v>
      </c>
      <c r="DC4" s="303">
        <f t="shared" si="3"/>
        <v>8880193.8418855593</v>
      </c>
      <c r="DD4" s="301"/>
      <c r="DE4" s="301"/>
      <c r="DF4" s="301"/>
      <c r="DG4" s="301"/>
      <c r="DH4" s="301"/>
      <c r="DI4" s="301"/>
      <c r="DJ4" s="301"/>
      <c r="DK4" s="301"/>
      <c r="DL4" s="302"/>
      <c r="DM4" s="380"/>
      <c r="DN4" s="300"/>
      <c r="DT4" s="332" t="s">
        <v>503</v>
      </c>
      <c r="DU4" s="333" t="s">
        <v>448</v>
      </c>
      <c r="DV4" s="333"/>
      <c r="DW4" s="622"/>
    </row>
    <row r="5" spans="2:127" ht="15.95" customHeight="1">
      <c r="B5" s="265"/>
      <c r="C5" s="280"/>
      <c r="D5" s="377"/>
      <c r="E5" s="377"/>
      <c r="F5" s="280"/>
      <c r="G5" s="378"/>
      <c r="H5" s="378"/>
      <c r="I5" s="282"/>
      <c r="M5" s="297"/>
      <c r="X5" s="501"/>
      <c r="AA5" s="298">
        <f>BU5</f>
        <v>0</v>
      </c>
      <c r="AE5" s="577"/>
      <c r="AO5" s="577"/>
      <c r="BI5" s="577"/>
      <c r="BR5" s="301"/>
      <c r="BS5" s="301"/>
      <c r="BT5" s="301"/>
      <c r="BU5" s="392"/>
      <c r="BV5" s="301"/>
      <c r="BW5" s="301"/>
      <c r="BX5" s="301"/>
      <c r="BY5" s="393"/>
      <c r="BZ5" s="301"/>
      <c r="CA5" s="301"/>
      <c r="CB5" s="301"/>
      <c r="CC5" s="301"/>
      <c r="CD5" s="301"/>
      <c r="CE5" s="301"/>
      <c r="CF5" s="301"/>
      <c r="CG5" s="301"/>
      <c r="CH5" s="301"/>
      <c r="CI5" s="393"/>
      <c r="CJ5" s="301"/>
      <c r="CK5" s="301"/>
      <c r="CL5" s="301"/>
      <c r="CM5" s="301"/>
      <c r="CN5" s="301"/>
      <c r="CO5" s="301"/>
      <c r="CP5" s="301"/>
      <c r="CQ5" s="301"/>
      <c r="CR5" s="301"/>
      <c r="CS5" s="301"/>
      <c r="CT5" s="301"/>
      <c r="CU5" s="301"/>
      <c r="CV5" s="301"/>
      <c r="CW5" s="301"/>
      <c r="CX5" s="301"/>
      <c r="CY5" s="301"/>
      <c r="CZ5" s="301"/>
      <c r="DA5" s="301"/>
      <c r="DB5" s="301"/>
      <c r="DC5" s="393"/>
      <c r="DD5" s="301"/>
      <c r="DE5" s="301"/>
      <c r="DF5" s="301"/>
      <c r="DG5" s="301"/>
      <c r="DH5" s="301"/>
      <c r="DI5" s="301"/>
      <c r="DJ5" s="301"/>
      <c r="DK5" s="301"/>
      <c r="DL5" s="301"/>
      <c r="DM5" s="394"/>
      <c r="DT5" s="332" t="s">
        <v>511</v>
      </c>
      <c r="DU5" s="333"/>
      <c r="DV5" s="333"/>
      <c r="DW5" s="622"/>
    </row>
    <row r="6" spans="2:127" ht="20.25">
      <c r="B6" s="395" t="s">
        <v>569</v>
      </c>
      <c r="C6" s="396">
        <v>0.31</v>
      </c>
      <c r="D6" s="396">
        <v>0.31</v>
      </c>
      <c r="E6" s="396">
        <v>0.31</v>
      </c>
      <c r="F6" s="396">
        <f>I6-C6</f>
        <v>8.0000000000000016E-2</v>
      </c>
      <c r="G6" s="397">
        <v>0.39</v>
      </c>
      <c r="H6" s="397">
        <v>0.39</v>
      </c>
      <c r="I6" s="397">
        <f>IF(E6&gt;H6,E6,H6)</f>
        <v>0.39</v>
      </c>
      <c r="J6" s="398" t="s">
        <v>566</v>
      </c>
      <c r="K6" s="399"/>
      <c r="M6" s="297"/>
      <c r="W6" s="399"/>
      <c r="AA6" s="298" t="s">
        <v>177</v>
      </c>
      <c r="AB6" s="400"/>
      <c r="AC6" s="400"/>
      <c r="AD6" s="400"/>
      <c r="AE6" s="578">
        <f>BY6*-1</f>
        <v>0</v>
      </c>
      <c r="AF6" s="601">
        <f t="shared" ref="AF6:BI6" si="4">BZ6*-1</f>
        <v>-177699.36057874703</v>
      </c>
      <c r="AG6" s="601">
        <f t="shared" si="4"/>
        <v>-355398.721157494</v>
      </c>
      <c r="AH6" s="601">
        <f t="shared" si="4"/>
        <v>-533098.081736241</v>
      </c>
      <c r="AI6" s="601">
        <f t="shared" si="4"/>
        <v>-710797.442314988</v>
      </c>
      <c r="AJ6" s="601">
        <f t="shared" si="4"/>
        <v>-888496.802893735</v>
      </c>
      <c r="AK6" s="601">
        <f t="shared" si="4"/>
        <v>-1066196.163472482</v>
      </c>
      <c r="AL6" s="601">
        <f t="shared" si="4"/>
        <v>-1243895.524051229</v>
      </c>
      <c r="AM6" s="601">
        <f t="shared" si="4"/>
        <v>-1421594.884629976</v>
      </c>
      <c r="AN6" s="601">
        <f t="shared" si="4"/>
        <v>-1599294.245208723</v>
      </c>
      <c r="AO6" s="578">
        <f t="shared" si="4"/>
        <v>-1776993.60578747</v>
      </c>
      <c r="AP6" s="601">
        <f t="shared" si="4"/>
        <v>-1809758.5475049091</v>
      </c>
      <c r="AQ6" s="601">
        <f t="shared" si="4"/>
        <v>-1842523.4892223487</v>
      </c>
      <c r="AR6" s="601">
        <f t="shared" si="4"/>
        <v>-1875288.4309397882</v>
      </c>
      <c r="AS6" s="601">
        <f t="shared" si="4"/>
        <v>-1908053.3726572278</v>
      </c>
      <c r="AT6" s="601">
        <f t="shared" si="4"/>
        <v>-1940818.3143746674</v>
      </c>
      <c r="AU6" s="601">
        <f t="shared" si="4"/>
        <v>-1973583.2560921069</v>
      </c>
      <c r="AV6" s="601">
        <f t="shared" si="4"/>
        <v>-2006348.1978095465</v>
      </c>
      <c r="AW6" s="601">
        <f t="shared" si="4"/>
        <v>-2039113.1395269861</v>
      </c>
      <c r="AX6" s="601">
        <f t="shared" si="4"/>
        <v>-2071878.0812444256</v>
      </c>
      <c r="AY6" s="601">
        <f t="shared" si="4"/>
        <v>-2104643.0229618652</v>
      </c>
      <c r="AZ6" s="601">
        <f t="shared" si="4"/>
        <v>-2137407.964679305</v>
      </c>
      <c r="BA6" s="601">
        <f t="shared" si="4"/>
        <v>-2170172.9063967448</v>
      </c>
      <c r="BB6" s="601">
        <f t="shared" si="4"/>
        <v>-2202937.8481141846</v>
      </c>
      <c r="BC6" s="601">
        <f t="shared" si="4"/>
        <v>-2235702.7898316244</v>
      </c>
      <c r="BD6" s="601">
        <f t="shared" si="4"/>
        <v>-2268467.7315490642</v>
      </c>
      <c r="BE6" s="601">
        <f t="shared" si="4"/>
        <v>-2301232.673266504</v>
      </c>
      <c r="BF6" s="601">
        <f t="shared" si="4"/>
        <v>-2333997.6149839438</v>
      </c>
      <c r="BG6" s="601">
        <f t="shared" si="4"/>
        <v>-2366762.5567013836</v>
      </c>
      <c r="BH6" s="601">
        <f t="shared" si="4"/>
        <v>-2399527.4984188234</v>
      </c>
      <c r="BI6" s="578">
        <f t="shared" si="4"/>
        <v>-2432292.4401362631</v>
      </c>
      <c r="BR6" s="301"/>
      <c r="BS6" s="301"/>
      <c r="BT6" s="301"/>
      <c r="BU6" s="392" t="str">
        <f>B6</f>
        <v>Building Baseline Reductions from Adopted Plans/Policies</v>
      </c>
      <c r="BV6" s="401"/>
      <c r="BW6" s="401"/>
      <c r="BX6" s="401"/>
      <c r="BY6" s="402">
        <f t="shared" ref="BY6:CH6" si="5">BZ6-$DH$6</f>
        <v>0</v>
      </c>
      <c r="BZ6" s="401">
        <f t="shared" si="5"/>
        <v>177699.36057874703</v>
      </c>
      <c r="CA6" s="401">
        <f t="shared" si="5"/>
        <v>355398.721157494</v>
      </c>
      <c r="CB6" s="401">
        <f t="shared" si="5"/>
        <v>533098.081736241</v>
      </c>
      <c r="CC6" s="401">
        <f t="shared" si="5"/>
        <v>710797.442314988</v>
      </c>
      <c r="CD6" s="401">
        <f t="shared" si="5"/>
        <v>888496.802893735</v>
      </c>
      <c r="CE6" s="401">
        <f t="shared" si="5"/>
        <v>1066196.163472482</v>
      </c>
      <c r="CF6" s="401">
        <f t="shared" si="5"/>
        <v>1243895.524051229</v>
      </c>
      <c r="CG6" s="401">
        <f t="shared" si="5"/>
        <v>1421594.884629976</v>
      </c>
      <c r="CH6" s="401">
        <f t="shared" si="5"/>
        <v>1599294.245208723</v>
      </c>
      <c r="CI6" s="402">
        <f>DD6</f>
        <v>1776993.60578747</v>
      </c>
      <c r="CJ6" s="401">
        <f t="shared" ref="CJ6:DA6" si="6">CK6-$DK$6</f>
        <v>1809758.5475049091</v>
      </c>
      <c r="CK6" s="401">
        <f t="shared" si="6"/>
        <v>1842523.4892223487</v>
      </c>
      <c r="CL6" s="401">
        <f t="shared" si="6"/>
        <v>1875288.4309397882</v>
      </c>
      <c r="CM6" s="401">
        <f t="shared" si="6"/>
        <v>1908053.3726572278</v>
      </c>
      <c r="CN6" s="401">
        <f t="shared" si="6"/>
        <v>1940818.3143746674</v>
      </c>
      <c r="CO6" s="401">
        <f t="shared" si="6"/>
        <v>1973583.2560921069</v>
      </c>
      <c r="CP6" s="401">
        <f t="shared" si="6"/>
        <v>2006348.1978095465</v>
      </c>
      <c r="CQ6" s="401">
        <f t="shared" si="6"/>
        <v>2039113.1395269861</v>
      </c>
      <c r="CR6" s="401">
        <f t="shared" si="6"/>
        <v>2071878.0812444256</v>
      </c>
      <c r="CS6" s="401">
        <f t="shared" si="6"/>
        <v>2104643.0229618652</v>
      </c>
      <c r="CT6" s="401">
        <f t="shared" si="6"/>
        <v>2137407.964679305</v>
      </c>
      <c r="CU6" s="401">
        <f t="shared" si="6"/>
        <v>2170172.9063967448</v>
      </c>
      <c r="CV6" s="401">
        <f t="shared" si="6"/>
        <v>2202937.8481141846</v>
      </c>
      <c r="CW6" s="401">
        <f t="shared" si="6"/>
        <v>2235702.7898316244</v>
      </c>
      <c r="CX6" s="401">
        <f t="shared" si="6"/>
        <v>2268467.7315490642</v>
      </c>
      <c r="CY6" s="401">
        <f t="shared" si="6"/>
        <v>2301232.673266504</v>
      </c>
      <c r="CZ6" s="401">
        <f t="shared" si="6"/>
        <v>2333997.6149839438</v>
      </c>
      <c r="DA6" s="401">
        <f t="shared" si="6"/>
        <v>2366762.5567013836</v>
      </c>
      <c r="DB6" s="401">
        <f>DC6-$DK$6</f>
        <v>2399527.4984188234</v>
      </c>
      <c r="DC6" s="402">
        <f>DN6</f>
        <v>2432292.4401362631</v>
      </c>
      <c r="DD6" s="401">
        <f>DE6*DG6/(D6*100)</f>
        <v>1776993.60578747</v>
      </c>
      <c r="DE6" s="401">
        <f>'Buildings Data'!B78+'Buildings Data'!B89</f>
        <v>1776993.60578747</v>
      </c>
      <c r="DF6" s="401">
        <f>DE6/($CI$1-$BY$1)</f>
        <v>177699.360578747</v>
      </c>
      <c r="DG6" s="401">
        <f>E6*100</f>
        <v>31</v>
      </c>
      <c r="DH6" s="401">
        <f>DF6*DG6/(E6*100)</f>
        <v>177699.36057874697</v>
      </c>
      <c r="DI6" s="401"/>
      <c r="DJ6" s="401">
        <f>DN6-DD6</f>
        <v>655298.83434879314</v>
      </c>
      <c r="DK6" s="401">
        <f>DJ6/($DC$1-$CI$1)</f>
        <v>32764.941717439659</v>
      </c>
      <c r="DL6" s="401">
        <f>'Buildings Data'!D78+'Buildings Data'!D89</f>
        <v>2432292.4401362631</v>
      </c>
      <c r="DM6" s="403">
        <f>H6*100</f>
        <v>39</v>
      </c>
      <c r="DN6" s="400">
        <f>DL6*DM6/(H6*100)</f>
        <v>2432292.4401362631</v>
      </c>
      <c r="DT6" s="332" t="s">
        <v>504</v>
      </c>
      <c r="DU6" s="333"/>
      <c r="DV6" s="333"/>
      <c r="DW6" s="622"/>
    </row>
    <row r="7" spans="2:127" ht="24" customHeight="1" thickBot="1">
      <c r="B7" s="404"/>
      <c r="C7" s="405"/>
      <c r="D7" s="406"/>
      <c r="E7" s="406"/>
      <c r="F7" s="405"/>
      <c r="G7" s="407"/>
      <c r="H7" s="407"/>
      <c r="I7" s="408"/>
      <c r="J7" s="404"/>
      <c r="K7" s="409"/>
      <c r="M7" s="297"/>
      <c r="AB7" s="410"/>
      <c r="AC7" s="410"/>
      <c r="AD7" s="410"/>
      <c r="AE7" s="579"/>
      <c r="AF7" s="602"/>
      <c r="AG7" s="602"/>
      <c r="AH7" s="602"/>
      <c r="AI7" s="602"/>
      <c r="AJ7" s="602"/>
      <c r="AK7" s="602"/>
      <c r="AL7" s="602"/>
      <c r="AM7" s="602"/>
      <c r="AN7" s="602"/>
      <c r="AO7" s="744"/>
      <c r="AP7" s="602"/>
      <c r="AQ7" s="602"/>
      <c r="AR7" s="602"/>
      <c r="AS7" s="602"/>
      <c r="AT7" s="602"/>
      <c r="AU7" s="602"/>
      <c r="AV7" s="602"/>
      <c r="AW7" s="602"/>
      <c r="AX7" s="602"/>
      <c r="AY7" s="602"/>
      <c r="AZ7" s="602"/>
      <c r="BA7" s="602"/>
      <c r="BB7" s="602"/>
      <c r="BC7" s="602"/>
      <c r="BD7" s="602"/>
      <c r="BE7" s="602"/>
      <c r="BF7" s="602"/>
      <c r="BG7" s="602"/>
      <c r="BH7" s="602"/>
      <c r="BI7" s="579"/>
      <c r="BR7" s="301"/>
      <c r="BS7" s="301"/>
      <c r="BT7" s="301"/>
      <c r="BU7" s="392"/>
      <c r="BV7" s="411"/>
      <c r="BW7" s="411"/>
      <c r="BX7" s="411"/>
      <c r="BY7" s="412"/>
      <c r="BZ7" s="411"/>
      <c r="CA7" s="411"/>
      <c r="CB7" s="411"/>
      <c r="CC7" s="411"/>
      <c r="CD7" s="411"/>
      <c r="CE7" s="411"/>
      <c r="CF7" s="411"/>
      <c r="CG7" s="411"/>
      <c r="CH7" s="411"/>
      <c r="CI7" s="412"/>
      <c r="CJ7" s="411"/>
      <c r="CK7" s="411"/>
      <c r="CL7" s="411"/>
      <c r="CM7" s="411"/>
      <c r="CN7" s="411"/>
      <c r="CO7" s="411"/>
      <c r="CP7" s="411"/>
      <c r="CQ7" s="411"/>
      <c r="CR7" s="411"/>
      <c r="CS7" s="411"/>
      <c r="CT7" s="411"/>
      <c r="CU7" s="411"/>
      <c r="CV7" s="411"/>
      <c r="CW7" s="411"/>
      <c r="CX7" s="411"/>
      <c r="CY7" s="411"/>
      <c r="CZ7" s="411"/>
      <c r="DA7" s="411"/>
      <c r="DB7" s="411"/>
      <c r="DC7" s="412"/>
      <c r="DD7" s="411"/>
      <c r="DE7" s="411"/>
      <c r="DF7" s="411"/>
      <c r="DG7" s="411"/>
      <c r="DH7" s="411"/>
      <c r="DI7" s="411"/>
      <c r="DJ7" s="411"/>
      <c r="DK7" s="411"/>
      <c r="DL7" s="411"/>
      <c r="DM7" s="413"/>
      <c r="DN7" s="410"/>
      <c r="DT7" s="332" t="s">
        <v>505</v>
      </c>
      <c r="DU7" s="333"/>
      <c r="DV7" s="333"/>
      <c r="DW7" s="622"/>
    </row>
    <row r="8" spans="2:127" ht="21" thickBot="1">
      <c r="B8" s="414" t="s">
        <v>277</v>
      </c>
      <c r="C8" s="415">
        <v>0.15</v>
      </c>
      <c r="D8" s="416">
        <v>0</v>
      </c>
      <c r="E8" s="416">
        <v>0.25</v>
      </c>
      <c r="F8" s="415">
        <v>0.35</v>
      </c>
      <c r="G8" s="417">
        <v>0</v>
      </c>
      <c r="H8" s="417">
        <v>0.5</v>
      </c>
      <c r="I8" s="418">
        <f>C8+F8</f>
        <v>0.5</v>
      </c>
      <c r="J8" s="419" t="s">
        <v>453</v>
      </c>
      <c r="K8" s="399"/>
      <c r="M8" s="297"/>
      <c r="U8" s="297"/>
      <c r="V8" s="297"/>
      <c r="W8" s="399"/>
      <c r="AA8" s="298" t="str">
        <f>BU8</f>
        <v>Residential Energy Efficiency (existing homes)</v>
      </c>
      <c r="AB8" s="420"/>
      <c r="AC8" s="420"/>
      <c r="AD8" s="420"/>
      <c r="AE8" s="580">
        <f>BY8*-1</f>
        <v>0</v>
      </c>
      <c r="AF8" s="603">
        <f t="shared" ref="AF8:AH8" si="7">BZ8*-1</f>
        <v>-16795.251198871199</v>
      </c>
      <c r="AG8" s="603">
        <f t="shared" si="7"/>
        <v>-33590.502397742399</v>
      </c>
      <c r="AH8" s="603">
        <f t="shared" si="7"/>
        <v>-50385.753596613598</v>
      </c>
      <c r="AI8" s="603">
        <f>CC8*-1</f>
        <v>-67181.004795484798</v>
      </c>
      <c r="AJ8" s="603">
        <f t="shared" ref="AJ8:BI8" si="8">CD8*-1</f>
        <v>-83976.255994356005</v>
      </c>
      <c r="AK8" s="603">
        <f t="shared" si="8"/>
        <v>-100771.50719322721</v>
      </c>
      <c r="AL8" s="603">
        <f t="shared" si="8"/>
        <v>-117566.75839209842</v>
      </c>
      <c r="AM8" s="603">
        <f t="shared" si="8"/>
        <v>-134362.00959096962</v>
      </c>
      <c r="AN8" s="603">
        <f t="shared" si="8"/>
        <v>-151157.26078984083</v>
      </c>
      <c r="AO8" s="580">
        <f t="shared" si="8"/>
        <v>-167952.51198871204</v>
      </c>
      <c r="AP8" s="603">
        <f t="shared" si="8"/>
        <v>-178389.79235180345</v>
      </c>
      <c r="AQ8" s="603">
        <f t="shared" si="8"/>
        <v>-188827.07271489484</v>
      </c>
      <c r="AR8" s="603">
        <f t="shared" si="8"/>
        <v>-199264.35307798622</v>
      </c>
      <c r="AS8" s="603">
        <f t="shared" si="8"/>
        <v>-209701.6334410776</v>
      </c>
      <c r="AT8" s="603">
        <f t="shared" si="8"/>
        <v>-220138.91380416899</v>
      </c>
      <c r="AU8" s="603">
        <f t="shared" si="8"/>
        <v>-230576.19416726037</v>
      </c>
      <c r="AV8" s="603">
        <f t="shared" si="8"/>
        <v>-241013.47453035176</v>
      </c>
      <c r="AW8" s="603">
        <f t="shared" si="8"/>
        <v>-251450.75489344314</v>
      </c>
      <c r="AX8" s="603">
        <f t="shared" si="8"/>
        <v>-261888.03525653452</v>
      </c>
      <c r="AY8" s="603">
        <f t="shared" si="8"/>
        <v>-272325.31561962591</v>
      </c>
      <c r="AZ8" s="603">
        <f t="shared" si="8"/>
        <v>-282762.59598271729</v>
      </c>
      <c r="BA8" s="603">
        <f t="shared" si="8"/>
        <v>-293199.87634580868</v>
      </c>
      <c r="BB8" s="603">
        <f t="shared" si="8"/>
        <v>-303637.15670890006</v>
      </c>
      <c r="BC8" s="603">
        <f t="shared" si="8"/>
        <v>-314074.43707199144</v>
      </c>
      <c r="BD8" s="603">
        <f t="shared" si="8"/>
        <v>-324511.71743508283</v>
      </c>
      <c r="BE8" s="603">
        <f t="shared" si="8"/>
        <v>-334948.99779817421</v>
      </c>
      <c r="BF8" s="603">
        <f t="shared" si="8"/>
        <v>-345386.2781612656</v>
      </c>
      <c r="BG8" s="603">
        <f t="shared" si="8"/>
        <v>-355823.55852435698</v>
      </c>
      <c r="BH8" s="603">
        <f t="shared" si="8"/>
        <v>-366260.83888744836</v>
      </c>
      <c r="BI8" s="580">
        <f t="shared" si="8"/>
        <v>-376698.11925053975</v>
      </c>
      <c r="BR8" s="301"/>
      <c r="BS8" s="301"/>
      <c r="BT8" s="301"/>
      <c r="BU8" s="392" t="str">
        <f>B8</f>
        <v>Residential Energy Efficiency (existing homes)</v>
      </c>
      <c r="BV8" s="401"/>
      <c r="BW8" s="401"/>
      <c r="BX8" s="401"/>
      <c r="BY8" s="402">
        <f>BZ8-$DH$8</f>
        <v>0</v>
      </c>
      <c r="BZ8" s="401">
        <f t="shared" ref="BZ8:CF8" si="9">CA8-$DH$8</f>
        <v>16795.251198871199</v>
      </c>
      <c r="CA8" s="401">
        <f t="shared" si="9"/>
        <v>33590.502397742399</v>
      </c>
      <c r="CB8" s="401">
        <f t="shared" si="9"/>
        <v>50385.753596613598</v>
      </c>
      <c r="CC8" s="401">
        <f t="shared" si="9"/>
        <v>67181.004795484798</v>
      </c>
      <c r="CD8" s="401">
        <f t="shared" si="9"/>
        <v>83976.255994356005</v>
      </c>
      <c r="CE8" s="401">
        <f t="shared" si="9"/>
        <v>100771.50719322721</v>
      </c>
      <c r="CF8" s="401">
        <f t="shared" si="9"/>
        <v>117566.75839209842</v>
      </c>
      <c r="CG8" s="401">
        <f>CH8-$DH$8</f>
        <v>134362.00959096962</v>
      </c>
      <c r="CH8" s="401">
        <f>CI8-$DH$8</f>
        <v>151157.26078984083</v>
      </c>
      <c r="CI8" s="402">
        <f>DD8</f>
        <v>167952.51198871204</v>
      </c>
      <c r="CJ8" s="401">
        <f>CK8-$DK$8</f>
        <v>178389.79235180345</v>
      </c>
      <c r="CK8" s="401">
        <f t="shared" ref="CK8:CZ8" si="10">CL8-$DK$8</f>
        <v>188827.07271489484</v>
      </c>
      <c r="CL8" s="401">
        <f t="shared" si="10"/>
        <v>199264.35307798622</v>
      </c>
      <c r="CM8" s="401">
        <f t="shared" si="10"/>
        <v>209701.6334410776</v>
      </c>
      <c r="CN8" s="401">
        <f t="shared" si="10"/>
        <v>220138.91380416899</v>
      </c>
      <c r="CO8" s="401">
        <f t="shared" si="10"/>
        <v>230576.19416726037</v>
      </c>
      <c r="CP8" s="401">
        <f t="shared" si="10"/>
        <v>241013.47453035176</v>
      </c>
      <c r="CQ8" s="401">
        <f t="shared" si="10"/>
        <v>251450.75489344314</v>
      </c>
      <c r="CR8" s="401">
        <f t="shared" si="10"/>
        <v>261888.03525653452</v>
      </c>
      <c r="CS8" s="401">
        <f t="shared" si="10"/>
        <v>272325.31561962591</v>
      </c>
      <c r="CT8" s="401">
        <f t="shared" si="10"/>
        <v>282762.59598271729</v>
      </c>
      <c r="CU8" s="401">
        <f t="shared" si="10"/>
        <v>293199.87634580868</v>
      </c>
      <c r="CV8" s="401">
        <f t="shared" si="10"/>
        <v>303637.15670890006</v>
      </c>
      <c r="CW8" s="401">
        <f t="shared" si="10"/>
        <v>314074.43707199144</v>
      </c>
      <c r="CX8" s="401">
        <f t="shared" si="10"/>
        <v>324511.71743508283</v>
      </c>
      <c r="CY8" s="401">
        <f t="shared" si="10"/>
        <v>334948.99779817421</v>
      </c>
      <c r="CZ8" s="401">
        <f t="shared" si="10"/>
        <v>345386.2781612656</v>
      </c>
      <c r="DA8" s="401">
        <f>DB8-$DK$8</f>
        <v>355823.55852435698</v>
      </c>
      <c r="DB8" s="401">
        <f>DC8-$DK$8</f>
        <v>366260.83888744836</v>
      </c>
      <c r="DC8" s="402">
        <f>DJ8</f>
        <v>376698.11925053975</v>
      </c>
      <c r="DD8" s="401">
        <f>DE8*DG8/(E8*100)</f>
        <v>167952.51198871204</v>
      </c>
      <c r="DE8" s="401">
        <f>'Buildings Data'!B79</f>
        <v>279920.85331452003</v>
      </c>
      <c r="DF8" s="401">
        <f>DE8/($CI$1-$BY$1)</f>
        <v>27992.085331452003</v>
      </c>
      <c r="DG8" s="401">
        <f>IF(C8&gt;E8,E8*100,C8*100)</f>
        <v>15</v>
      </c>
      <c r="DH8" s="401">
        <f>DF8*DG8/(E8*100)</f>
        <v>16795.251198871199</v>
      </c>
      <c r="DI8" s="401"/>
      <c r="DJ8" s="421">
        <f>(DL8*I8)/(H8)</f>
        <v>376698.11925053975</v>
      </c>
      <c r="DK8" s="401">
        <f>(DC8-CI8)/($DC$1-$CI$1)</f>
        <v>10437.280363091386</v>
      </c>
      <c r="DL8" s="401">
        <f>'Buildings Data'!D79</f>
        <v>376698.11925053975</v>
      </c>
      <c r="DM8" s="403">
        <f>(I8)*100</f>
        <v>50</v>
      </c>
      <c r="DN8" s="420">
        <f>DL8*DM8/(H8*100)</f>
        <v>376698.11925053975</v>
      </c>
      <c r="DT8" s="391" t="s">
        <v>512</v>
      </c>
      <c r="DU8" s="335"/>
      <c r="DV8" s="335"/>
      <c r="DW8" s="336"/>
    </row>
    <row r="9" spans="2:127" ht="24" thickBot="1">
      <c r="B9" s="422" t="s">
        <v>444</v>
      </c>
      <c r="C9" s="333"/>
      <c r="D9" s="423"/>
      <c r="E9" s="423"/>
      <c r="F9" s="333"/>
      <c r="G9" s="424"/>
      <c r="H9" s="424"/>
      <c r="I9" s="425"/>
      <c r="J9" s="426"/>
      <c r="M9" s="297"/>
      <c r="U9" s="297"/>
      <c r="V9" s="427" t="s">
        <v>284</v>
      </c>
      <c r="AB9" s="428"/>
      <c r="AC9" s="428"/>
      <c r="AD9" s="428"/>
      <c r="AE9" s="581"/>
      <c r="AF9" s="604"/>
      <c r="AG9" s="604"/>
      <c r="AH9" s="604"/>
      <c r="AI9" s="604"/>
      <c r="AJ9" s="604"/>
      <c r="AK9" s="604"/>
      <c r="AL9" s="604"/>
      <c r="AM9" s="604"/>
      <c r="AN9" s="604"/>
      <c r="AO9" s="581"/>
      <c r="AP9" s="604"/>
      <c r="AQ9" s="604"/>
      <c r="AR9" s="604"/>
      <c r="AS9" s="604"/>
      <c r="AT9" s="604"/>
      <c r="AU9" s="604"/>
      <c r="AV9" s="604"/>
      <c r="AW9" s="604"/>
      <c r="AX9" s="604"/>
      <c r="AY9" s="604"/>
      <c r="AZ9" s="604"/>
      <c r="BA9" s="604"/>
      <c r="BB9" s="604"/>
      <c r="BC9" s="604"/>
      <c r="BD9" s="604"/>
      <c r="BE9" s="604"/>
      <c r="BF9" s="604"/>
      <c r="BG9" s="604"/>
      <c r="BH9" s="604"/>
      <c r="BI9" s="581"/>
      <c r="BR9" s="301"/>
      <c r="BS9" s="301"/>
      <c r="BT9" s="301"/>
      <c r="BU9" s="392"/>
      <c r="BV9" s="429"/>
      <c r="BW9" s="429"/>
      <c r="BX9" s="429"/>
      <c r="BY9" s="430"/>
      <c r="BZ9" s="429"/>
      <c r="CA9" s="429"/>
      <c r="CB9" s="429"/>
      <c r="CC9" s="429"/>
      <c r="CD9" s="429"/>
      <c r="CE9" s="429"/>
      <c r="CF9" s="429"/>
      <c r="CG9" s="429"/>
      <c r="CH9" s="429"/>
      <c r="CI9" s="430"/>
      <c r="CJ9" s="429"/>
      <c r="CK9" s="429"/>
      <c r="CL9" s="429"/>
      <c r="CM9" s="429"/>
      <c r="CN9" s="429"/>
      <c r="CO9" s="429"/>
      <c r="CP9" s="429"/>
      <c r="CQ9" s="429"/>
      <c r="CR9" s="429"/>
      <c r="CS9" s="429"/>
      <c r="CT9" s="429"/>
      <c r="CU9" s="429"/>
      <c r="CV9" s="429"/>
      <c r="CW9" s="429"/>
      <c r="CX9" s="429"/>
      <c r="CY9" s="429"/>
      <c r="CZ9" s="429"/>
      <c r="DA9" s="429"/>
      <c r="DB9" s="429"/>
      <c r="DC9" s="430"/>
      <c r="DD9" s="429"/>
      <c r="DE9" s="429"/>
      <c r="DF9" s="429"/>
      <c r="DG9" s="429"/>
      <c r="DH9" s="429"/>
      <c r="DI9" s="431"/>
      <c r="DJ9" s="431"/>
      <c r="DK9" s="429"/>
      <c r="DL9" s="429"/>
      <c r="DM9" s="432"/>
      <c r="DN9" s="428"/>
    </row>
    <row r="10" spans="2:127" ht="24" thickBot="1">
      <c r="B10" s="414" t="s">
        <v>278</v>
      </c>
      <c r="C10" s="415">
        <v>0.15</v>
      </c>
      <c r="D10" s="416">
        <v>0</v>
      </c>
      <c r="E10" s="416">
        <v>0.25</v>
      </c>
      <c r="F10" s="415">
        <v>0.35</v>
      </c>
      <c r="G10" s="417">
        <v>0</v>
      </c>
      <c r="H10" s="417">
        <v>0.5</v>
      </c>
      <c r="I10" s="418">
        <f>C10+F10</f>
        <v>0.5</v>
      </c>
      <c r="J10" s="419" t="s">
        <v>453</v>
      </c>
      <c r="K10" s="399"/>
      <c r="M10" s="297"/>
      <c r="U10" s="297"/>
      <c r="V10" s="427" t="s">
        <v>345</v>
      </c>
      <c r="W10" s="399"/>
      <c r="AA10" s="298" t="str">
        <f>BU10</f>
        <v>Commercial Energy Efficiency (existing buildings)</v>
      </c>
      <c r="AB10" s="420"/>
      <c r="AC10" s="420"/>
      <c r="AD10" s="420"/>
      <c r="AE10" s="580">
        <f>BY10*-1</f>
        <v>0</v>
      </c>
      <c r="AF10" s="603">
        <f t="shared" ref="AF10:BI10" si="11">BZ10*-1</f>
        <v>-15354.933825356537</v>
      </c>
      <c r="AG10" s="603">
        <f t="shared" si="11"/>
        <v>-30709.867650713073</v>
      </c>
      <c r="AH10" s="603">
        <f t="shared" si="11"/>
        <v>-46064.80147606961</v>
      </c>
      <c r="AI10" s="603">
        <f t="shared" si="11"/>
        <v>-61419.735301426146</v>
      </c>
      <c r="AJ10" s="603">
        <f t="shared" si="11"/>
        <v>-76774.669126782683</v>
      </c>
      <c r="AK10" s="603">
        <f t="shared" si="11"/>
        <v>-92129.602952139219</v>
      </c>
      <c r="AL10" s="603">
        <f t="shared" si="11"/>
        <v>-107484.53677749576</v>
      </c>
      <c r="AM10" s="603">
        <f t="shared" si="11"/>
        <v>-122839.47060285229</v>
      </c>
      <c r="AN10" s="603">
        <f t="shared" si="11"/>
        <v>-138194.40442820883</v>
      </c>
      <c r="AO10" s="580">
        <f t="shared" si="11"/>
        <v>-153549.33825356537</v>
      </c>
      <c r="AP10" s="603">
        <f t="shared" si="11"/>
        <v>-162252.40657756536</v>
      </c>
      <c r="AQ10" s="603">
        <f t="shared" si="11"/>
        <v>-170955.47490156553</v>
      </c>
      <c r="AR10" s="603">
        <f t="shared" si="11"/>
        <v>-179658.54322556569</v>
      </c>
      <c r="AS10" s="603">
        <f t="shared" si="11"/>
        <v>-188361.61154956586</v>
      </c>
      <c r="AT10" s="603">
        <f t="shared" si="11"/>
        <v>-197064.67987356603</v>
      </c>
      <c r="AU10" s="603">
        <f t="shared" si="11"/>
        <v>-205767.74819756619</v>
      </c>
      <c r="AV10" s="603">
        <f t="shared" si="11"/>
        <v>-214470.81652156636</v>
      </c>
      <c r="AW10" s="603">
        <f t="shared" si="11"/>
        <v>-223173.88484556653</v>
      </c>
      <c r="AX10" s="603">
        <f t="shared" si="11"/>
        <v>-231876.9531695667</v>
      </c>
      <c r="AY10" s="603">
        <f t="shared" si="11"/>
        <v>-240580.02149356686</v>
      </c>
      <c r="AZ10" s="603">
        <f t="shared" si="11"/>
        <v>-249283.08981756703</v>
      </c>
      <c r="BA10" s="603">
        <f t="shared" si="11"/>
        <v>-257986.1581415672</v>
      </c>
      <c r="BB10" s="603">
        <f t="shared" si="11"/>
        <v>-266689.22646556736</v>
      </c>
      <c r="BC10" s="603">
        <f t="shared" si="11"/>
        <v>-275392.29478956753</v>
      </c>
      <c r="BD10" s="603">
        <f t="shared" si="11"/>
        <v>-284095.3631135677</v>
      </c>
      <c r="BE10" s="603">
        <f t="shared" si="11"/>
        <v>-292798.43143756787</v>
      </c>
      <c r="BF10" s="603">
        <f t="shared" si="11"/>
        <v>-301501.49976156803</v>
      </c>
      <c r="BG10" s="603">
        <f t="shared" si="11"/>
        <v>-310204.5680855682</v>
      </c>
      <c r="BH10" s="603">
        <f t="shared" si="11"/>
        <v>-318907.63640956837</v>
      </c>
      <c r="BI10" s="580">
        <f t="shared" si="11"/>
        <v>-327610.70473356853</v>
      </c>
      <c r="BR10" s="301"/>
      <c r="BS10" s="301"/>
      <c r="BT10" s="301"/>
      <c r="BU10" s="392" t="str">
        <f>B10</f>
        <v>Commercial Energy Efficiency (existing buildings)</v>
      </c>
      <c r="BV10" s="401"/>
      <c r="BW10" s="401"/>
      <c r="BX10" s="401"/>
      <c r="BY10" s="402">
        <v>0</v>
      </c>
      <c r="BZ10" s="401">
        <f t="shared" ref="BZ10:CH10" si="12">CA10-$DH$10</f>
        <v>15354.933825356537</v>
      </c>
      <c r="CA10" s="401">
        <f t="shared" si="12"/>
        <v>30709.867650713073</v>
      </c>
      <c r="CB10" s="401">
        <f t="shared" si="12"/>
        <v>46064.80147606961</v>
      </c>
      <c r="CC10" s="401">
        <f t="shared" si="12"/>
        <v>61419.735301426146</v>
      </c>
      <c r="CD10" s="401">
        <f t="shared" si="12"/>
        <v>76774.669126782683</v>
      </c>
      <c r="CE10" s="401">
        <f t="shared" si="12"/>
        <v>92129.602952139219</v>
      </c>
      <c r="CF10" s="401">
        <f t="shared" si="12"/>
        <v>107484.53677749576</v>
      </c>
      <c r="CG10" s="401">
        <f t="shared" si="12"/>
        <v>122839.47060285229</v>
      </c>
      <c r="CH10" s="401">
        <f t="shared" si="12"/>
        <v>138194.40442820883</v>
      </c>
      <c r="CI10" s="402">
        <f>DD10</f>
        <v>153549.33825356537</v>
      </c>
      <c r="CJ10" s="401">
        <f t="shared" ref="CJ10:DB10" si="13">CK10-$DK$10</f>
        <v>162252.40657756536</v>
      </c>
      <c r="CK10" s="401">
        <f t="shared" si="13"/>
        <v>170955.47490156553</v>
      </c>
      <c r="CL10" s="401">
        <f t="shared" si="13"/>
        <v>179658.54322556569</v>
      </c>
      <c r="CM10" s="401">
        <f t="shared" si="13"/>
        <v>188361.61154956586</v>
      </c>
      <c r="CN10" s="401">
        <f t="shared" si="13"/>
        <v>197064.67987356603</v>
      </c>
      <c r="CO10" s="401">
        <f t="shared" si="13"/>
        <v>205767.74819756619</v>
      </c>
      <c r="CP10" s="401">
        <f t="shared" si="13"/>
        <v>214470.81652156636</v>
      </c>
      <c r="CQ10" s="401">
        <f t="shared" si="13"/>
        <v>223173.88484556653</v>
      </c>
      <c r="CR10" s="401">
        <f t="shared" si="13"/>
        <v>231876.9531695667</v>
      </c>
      <c r="CS10" s="401">
        <f t="shared" si="13"/>
        <v>240580.02149356686</v>
      </c>
      <c r="CT10" s="401">
        <f t="shared" si="13"/>
        <v>249283.08981756703</v>
      </c>
      <c r="CU10" s="401">
        <f t="shared" si="13"/>
        <v>257986.1581415672</v>
      </c>
      <c r="CV10" s="401">
        <f t="shared" si="13"/>
        <v>266689.22646556736</v>
      </c>
      <c r="CW10" s="401">
        <f t="shared" si="13"/>
        <v>275392.29478956753</v>
      </c>
      <c r="CX10" s="401">
        <f t="shared" si="13"/>
        <v>284095.3631135677</v>
      </c>
      <c r="CY10" s="401">
        <f t="shared" si="13"/>
        <v>292798.43143756787</v>
      </c>
      <c r="CZ10" s="401">
        <f t="shared" si="13"/>
        <v>301501.49976156803</v>
      </c>
      <c r="DA10" s="401">
        <f t="shared" si="13"/>
        <v>310204.5680855682</v>
      </c>
      <c r="DB10" s="401">
        <f t="shared" si="13"/>
        <v>318907.63640956837</v>
      </c>
      <c r="DC10" s="402">
        <f>DJ10</f>
        <v>327610.70473356853</v>
      </c>
      <c r="DD10" s="401">
        <f>DE10*DG10/(E10*100)</f>
        <v>153549.33825356537</v>
      </c>
      <c r="DE10" s="401">
        <f>'Buildings Data'!B80</f>
        <v>255915.56375594228</v>
      </c>
      <c r="DF10" s="401">
        <f>DE10/($CI$1-$BY$1)</f>
        <v>25591.556375594228</v>
      </c>
      <c r="DG10" s="401">
        <f>C10*100</f>
        <v>15</v>
      </c>
      <c r="DH10" s="401">
        <f>DF10*DG10/(E10*100)</f>
        <v>15354.933825356537</v>
      </c>
      <c r="DI10" s="401"/>
      <c r="DJ10" s="421">
        <f>(DL10*I10)/(H10)</f>
        <v>327610.70473356853</v>
      </c>
      <c r="DK10" s="401">
        <f>(DC10-CI10)/($DC$1-$CI$1)</f>
        <v>8703.0683240001581</v>
      </c>
      <c r="DL10" s="401">
        <f>'Buildings Data'!D80</f>
        <v>327610.70473356853</v>
      </c>
      <c r="DM10" s="403">
        <f>(I10)*100</f>
        <v>50</v>
      </c>
      <c r="DN10" s="420">
        <f>DL10*DM10/(H10*100)</f>
        <v>327610.70473356853</v>
      </c>
    </row>
    <row r="11" spans="2:127" ht="29.1" customHeight="1" thickBot="1">
      <c r="B11" s="433"/>
      <c r="C11" s="434"/>
      <c r="D11" s="435"/>
      <c r="E11" s="435"/>
      <c r="F11" s="434"/>
      <c r="G11" s="435"/>
      <c r="H11" s="435"/>
      <c r="I11" s="425"/>
      <c r="J11" s="404"/>
      <c r="M11" s="297"/>
      <c r="U11" s="297"/>
      <c r="V11" s="562">
        <f>CI41</f>
        <v>0.59889586036619347</v>
      </c>
      <c r="AB11" s="428"/>
      <c r="AC11" s="428"/>
      <c r="AD11" s="428"/>
      <c r="AE11" s="581"/>
      <c r="AF11" s="604"/>
      <c r="AG11" s="604"/>
      <c r="AH11" s="604"/>
      <c r="AI11" s="604"/>
      <c r="AJ11" s="604"/>
      <c r="AK11" s="604"/>
      <c r="AL11" s="604"/>
      <c r="AM11" s="604"/>
      <c r="AN11" s="604"/>
      <c r="AO11" s="581"/>
      <c r="AP11" s="604"/>
      <c r="AQ11" s="604"/>
      <c r="AR11" s="604"/>
      <c r="AS11" s="604"/>
      <c r="AT11" s="604"/>
      <c r="AU11" s="604"/>
      <c r="AV11" s="604"/>
      <c r="AW11" s="604"/>
      <c r="AX11" s="604"/>
      <c r="AY11" s="604"/>
      <c r="AZ11" s="604"/>
      <c r="BA11" s="604"/>
      <c r="BB11" s="604"/>
      <c r="BC11" s="604"/>
      <c r="BD11" s="604"/>
      <c r="BE11" s="604"/>
      <c r="BF11" s="604"/>
      <c r="BG11" s="604"/>
      <c r="BH11" s="604"/>
      <c r="BI11" s="581"/>
      <c r="BR11" s="301"/>
      <c r="BS11" s="301"/>
      <c r="BT11" s="301"/>
      <c r="BU11" s="392"/>
      <c r="BV11" s="429"/>
      <c r="BW11" s="429"/>
      <c r="BX11" s="429"/>
      <c r="BY11" s="430"/>
      <c r="BZ11" s="429"/>
      <c r="CA11" s="429"/>
      <c r="CB11" s="429"/>
      <c r="CC11" s="429"/>
      <c r="CD11" s="429"/>
      <c r="CE11" s="429"/>
      <c r="CF11" s="429"/>
      <c r="CG11" s="429"/>
      <c r="CH11" s="429"/>
      <c r="CI11" s="430"/>
      <c r="CJ11" s="429"/>
      <c r="CK11" s="429"/>
      <c r="CL11" s="429"/>
      <c r="CM11" s="429"/>
      <c r="CN11" s="429"/>
      <c r="CO11" s="429"/>
      <c r="CP11" s="429"/>
      <c r="CQ11" s="429"/>
      <c r="CR11" s="429"/>
      <c r="CS11" s="429"/>
      <c r="CT11" s="429"/>
      <c r="CU11" s="429"/>
      <c r="CV11" s="429"/>
      <c r="CW11" s="429"/>
      <c r="CX11" s="429"/>
      <c r="CY11" s="429"/>
      <c r="CZ11" s="429"/>
      <c r="DA11" s="429"/>
      <c r="DB11" s="429"/>
      <c r="DC11" s="430"/>
      <c r="DD11" s="429"/>
      <c r="DE11" s="429"/>
      <c r="DF11" s="429"/>
      <c r="DG11" s="429"/>
      <c r="DH11" s="429"/>
      <c r="DI11" s="429"/>
      <c r="DJ11" s="429"/>
      <c r="DK11" s="429"/>
      <c r="DL11" s="429"/>
      <c r="DM11" s="432"/>
      <c r="DN11" s="428"/>
    </row>
    <row r="12" spans="2:127" ht="24" customHeight="1" thickBot="1">
      <c r="B12" s="414" t="s">
        <v>445</v>
      </c>
      <c r="C12" s="415">
        <v>0</v>
      </c>
      <c r="D12" s="416">
        <v>0</v>
      </c>
      <c r="E12" s="416">
        <v>0.5</v>
      </c>
      <c r="F12" s="415">
        <v>0.5</v>
      </c>
      <c r="G12" s="417">
        <v>0</v>
      </c>
      <c r="H12" s="417">
        <v>0.5</v>
      </c>
      <c r="I12" s="418">
        <f>C12+F12</f>
        <v>0.5</v>
      </c>
      <c r="J12" s="419" t="s">
        <v>453</v>
      </c>
      <c r="K12" s="399"/>
      <c r="M12" s="297"/>
      <c r="U12" s="297"/>
      <c r="V12" s="297"/>
      <c r="W12" s="399"/>
      <c r="AA12" s="298" t="str">
        <f>BU12</f>
        <v>New Construction Energy Codes (R+C)</v>
      </c>
      <c r="AB12" s="420"/>
      <c r="AC12" s="420"/>
      <c r="AD12" s="420"/>
      <c r="AE12" s="580">
        <f>BY12*-1</f>
        <v>0</v>
      </c>
      <c r="AF12" s="603">
        <f t="shared" ref="AF12:BI12" si="14">BZ12*-1</f>
        <v>0</v>
      </c>
      <c r="AG12" s="603">
        <f t="shared" si="14"/>
        <v>0</v>
      </c>
      <c r="AH12" s="603">
        <f t="shared" si="14"/>
        <v>0</v>
      </c>
      <c r="AI12" s="603">
        <f t="shared" si="14"/>
        <v>0</v>
      </c>
      <c r="AJ12" s="603">
        <f t="shared" si="14"/>
        <v>0</v>
      </c>
      <c r="AK12" s="603">
        <f t="shared" si="14"/>
        <v>0</v>
      </c>
      <c r="AL12" s="603">
        <f t="shared" si="14"/>
        <v>0</v>
      </c>
      <c r="AM12" s="603">
        <f t="shared" si="14"/>
        <v>0</v>
      </c>
      <c r="AN12" s="603">
        <f t="shared" si="14"/>
        <v>0</v>
      </c>
      <c r="AO12" s="580">
        <f t="shared" si="14"/>
        <v>0</v>
      </c>
      <c r="AP12" s="603">
        <f t="shared" si="14"/>
        <v>-11271.750475133966</v>
      </c>
      <c r="AQ12" s="603">
        <f t="shared" si="14"/>
        <v>-22543.500950267829</v>
      </c>
      <c r="AR12" s="603">
        <f t="shared" si="14"/>
        <v>-33815.251425401693</v>
      </c>
      <c r="AS12" s="603">
        <f t="shared" si="14"/>
        <v>-45087.001900535557</v>
      </c>
      <c r="AT12" s="603">
        <f t="shared" si="14"/>
        <v>-56358.752375669421</v>
      </c>
      <c r="AU12" s="603">
        <f t="shared" si="14"/>
        <v>-67630.502850803285</v>
      </c>
      <c r="AV12" s="603">
        <f t="shared" si="14"/>
        <v>-78902.253325937141</v>
      </c>
      <c r="AW12" s="603">
        <f t="shared" si="14"/>
        <v>-90174.003801070998</v>
      </c>
      <c r="AX12" s="603">
        <f t="shared" si="14"/>
        <v>-101445.75427620485</v>
      </c>
      <c r="AY12" s="603">
        <f t="shared" si="14"/>
        <v>-112717.50475133871</v>
      </c>
      <c r="AZ12" s="603">
        <f t="shared" si="14"/>
        <v>-123989.25522647257</v>
      </c>
      <c r="BA12" s="603">
        <f t="shared" si="14"/>
        <v>-135261.00570160642</v>
      </c>
      <c r="BB12" s="603">
        <f t="shared" si="14"/>
        <v>-146532.75617674028</v>
      </c>
      <c r="BC12" s="603">
        <f t="shared" si="14"/>
        <v>-157804.50665187414</v>
      </c>
      <c r="BD12" s="603">
        <f t="shared" si="14"/>
        <v>-169076.25712700799</v>
      </c>
      <c r="BE12" s="603">
        <f t="shared" si="14"/>
        <v>-180348.00760214185</v>
      </c>
      <c r="BF12" s="603">
        <f t="shared" si="14"/>
        <v>-191619.75807727571</v>
      </c>
      <c r="BG12" s="603">
        <f t="shared" si="14"/>
        <v>-202891.50855240956</v>
      </c>
      <c r="BH12" s="603">
        <f t="shared" si="14"/>
        <v>-214163.25902754342</v>
      </c>
      <c r="BI12" s="580">
        <f t="shared" si="14"/>
        <v>-225435.00950267728</v>
      </c>
      <c r="BR12" s="301"/>
      <c r="BS12" s="301"/>
      <c r="BT12" s="301"/>
      <c r="BU12" s="392" t="str">
        <f>B12</f>
        <v>New Construction Energy Codes (R+C)</v>
      </c>
      <c r="BV12" s="401"/>
      <c r="BW12" s="401"/>
      <c r="BX12" s="401"/>
      <c r="BY12" s="402">
        <v>0</v>
      </c>
      <c r="BZ12" s="401">
        <f t="shared" ref="BZ12:CG12" si="15">CA12-$DH$12</f>
        <v>0</v>
      </c>
      <c r="CA12" s="401">
        <f t="shared" si="15"/>
        <v>0</v>
      </c>
      <c r="CB12" s="401">
        <f t="shared" si="15"/>
        <v>0</v>
      </c>
      <c r="CC12" s="401">
        <f t="shared" si="15"/>
        <v>0</v>
      </c>
      <c r="CD12" s="401">
        <f t="shared" si="15"/>
        <v>0</v>
      </c>
      <c r="CE12" s="401">
        <f t="shared" si="15"/>
        <v>0</v>
      </c>
      <c r="CF12" s="401">
        <f t="shared" si="15"/>
        <v>0</v>
      </c>
      <c r="CG12" s="401">
        <f t="shared" si="15"/>
        <v>0</v>
      </c>
      <c r="CH12" s="401">
        <f>CI12-$DH$12</f>
        <v>0</v>
      </c>
      <c r="CI12" s="402">
        <f>DD12</f>
        <v>0</v>
      </c>
      <c r="CJ12" s="401">
        <f t="shared" ref="CJ12:DA12" si="16">CK12-$DK$12</f>
        <v>11271.750475133966</v>
      </c>
      <c r="CK12" s="401">
        <f t="shared" si="16"/>
        <v>22543.500950267829</v>
      </c>
      <c r="CL12" s="401">
        <f t="shared" si="16"/>
        <v>33815.251425401693</v>
      </c>
      <c r="CM12" s="401">
        <f t="shared" si="16"/>
        <v>45087.001900535557</v>
      </c>
      <c r="CN12" s="401">
        <f t="shared" si="16"/>
        <v>56358.752375669421</v>
      </c>
      <c r="CO12" s="401">
        <f t="shared" si="16"/>
        <v>67630.502850803285</v>
      </c>
      <c r="CP12" s="401">
        <f t="shared" si="16"/>
        <v>78902.253325937141</v>
      </c>
      <c r="CQ12" s="401">
        <f t="shared" si="16"/>
        <v>90174.003801070998</v>
      </c>
      <c r="CR12" s="401">
        <f t="shared" si="16"/>
        <v>101445.75427620485</v>
      </c>
      <c r="CS12" s="401">
        <f t="shared" si="16"/>
        <v>112717.50475133871</v>
      </c>
      <c r="CT12" s="401">
        <f t="shared" si="16"/>
        <v>123989.25522647257</v>
      </c>
      <c r="CU12" s="401">
        <f t="shared" si="16"/>
        <v>135261.00570160642</v>
      </c>
      <c r="CV12" s="401">
        <f t="shared" si="16"/>
        <v>146532.75617674028</v>
      </c>
      <c r="CW12" s="401">
        <f t="shared" si="16"/>
        <v>157804.50665187414</v>
      </c>
      <c r="CX12" s="401">
        <f t="shared" si="16"/>
        <v>169076.25712700799</v>
      </c>
      <c r="CY12" s="401">
        <f t="shared" si="16"/>
        <v>180348.00760214185</v>
      </c>
      <c r="CZ12" s="401">
        <f t="shared" si="16"/>
        <v>191619.75807727571</v>
      </c>
      <c r="DA12" s="401">
        <f t="shared" si="16"/>
        <v>202891.50855240956</v>
      </c>
      <c r="DB12" s="401">
        <f>DC12-$DK$12</f>
        <v>214163.25902754342</v>
      </c>
      <c r="DC12" s="402">
        <f>DJ12</f>
        <v>225435.00950267728</v>
      </c>
      <c r="DD12" s="401">
        <f>DE12*DG12/(E12*100)</f>
        <v>0</v>
      </c>
      <c r="DE12" s="401">
        <f>'Buildings Data'!B85</f>
        <v>65276.903043842933</v>
      </c>
      <c r="DF12" s="401">
        <f>DE12/($CI$1-$BY$1)</f>
        <v>6527.6903043842931</v>
      </c>
      <c r="DG12" s="401">
        <f>C12*100</f>
        <v>0</v>
      </c>
      <c r="DH12" s="401">
        <f>DF12*DG12/(E12*100)</f>
        <v>0</v>
      </c>
      <c r="DI12" s="401"/>
      <c r="DJ12" s="421">
        <f>(DL12*I12)/(H12)</f>
        <v>225435.00950267728</v>
      </c>
      <c r="DK12" s="401">
        <f>(DC12-CI12)/($DC$1-$CI$1)</f>
        <v>11271.750475133864</v>
      </c>
      <c r="DL12" s="401">
        <f>'Buildings Data'!D85</f>
        <v>225435.00950267728</v>
      </c>
      <c r="DM12" s="403">
        <f>(I12)*100</f>
        <v>50</v>
      </c>
      <c r="DN12" s="420">
        <f>DL12*DM12/(H12*100)</f>
        <v>225435.00950267728</v>
      </c>
    </row>
    <row r="13" spans="2:127" ht="24" customHeight="1" thickBot="1">
      <c r="B13" s="433"/>
      <c r="C13" s="434"/>
      <c r="D13" s="435"/>
      <c r="E13" s="435"/>
      <c r="F13" s="434"/>
      <c r="G13" s="435"/>
      <c r="H13" s="435"/>
      <c r="I13" s="425"/>
      <c r="J13" s="426"/>
      <c r="M13" s="297"/>
      <c r="U13" s="297"/>
      <c r="V13" s="427" t="s">
        <v>285</v>
      </c>
      <c r="AB13" s="428"/>
      <c r="AC13" s="428"/>
      <c r="AD13" s="428"/>
      <c r="AE13" s="581"/>
      <c r="AF13" s="604"/>
      <c r="AG13" s="604"/>
      <c r="AH13" s="604"/>
      <c r="AI13" s="604"/>
      <c r="AJ13" s="604"/>
      <c r="AK13" s="604"/>
      <c r="AL13" s="604"/>
      <c r="AM13" s="604"/>
      <c r="AN13" s="604"/>
      <c r="AO13" s="581"/>
      <c r="AP13" s="604"/>
      <c r="AQ13" s="604"/>
      <c r="AR13" s="604"/>
      <c r="AS13" s="604"/>
      <c r="AT13" s="604"/>
      <c r="AU13" s="604"/>
      <c r="AV13" s="604"/>
      <c r="AW13" s="604"/>
      <c r="AX13" s="604"/>
      <c r="AY13" s="604"/>
      <c r="AZ13" s="604"/>
      <c r="BA13" s="604"/>
      <c r="BB13" s="604"/>
      <c r="BC13" s="604"/>
      <c r="BD13" s="604"/>
      <c r="BE13" s="604"/>
      <c r="BF13" s="604"/>
      <c r="BG13" s="604"/>
      <c r="BH13" s="604"/>
      <c r="BI13" s="581"/>
      <c r="BR13" s="301"/>
      <c r="BS13" s="301"/>
      <c r="BT13" s="301"/>
      <c r="BU13" s="392"/>
      <c r="BV13" s="429"/>
      <c r="BW13" s="429"/>
      <c r="BX13" s="429"/>
      <c r="BY13" s="430"/>
      <c r="BZ13" s="429"/>
      <c r="CA13" s="429"/>
      <c r="CB13" s="429"/>
      <c r="CC13" s="429"/>
      <c r="CD13" s="429"/>
      <c r="CE13" s="429"/>
      <c r="CF13" s="429"/>
      <c r="CG13" s="429"/>
      <c r="CH13" s="429"/>
      <c r="CI13" s="430"/>
      <c r="CJ13" s="429"/>
      <c r="CK13" s="429"/>
      <c r="CL13" s="429"/>
      <c r="CM13" s="429"/>
      <c r="CN13" s="429"/>
      <c r="CO13" s="429"/>
      <c r="CP13" s="429"/>
      <c r="CQ13" s="429"/>
      <c r="CR13" s="429"/>
      <c r="CS13" s="429"/>
      <c r="CT13" s="429"/>
      <c r="CU13" s="429"/>
      <c r="CV13" s="429"/>
      <c r="CW13" s="429"/>
      <c r="CX13" s="429"/>
      <c r="CY13" s="429"/>
      <c r="CZ13" s="429"/>
      <c r="DA13" s="429"/>
      <c r="DB13" s="429"/>
      <c r="DC13" s="430"/>
      <c r="DD13" s="429"/>
      <c r="DE13" s="429"/>
      <c r="DF13" s="429"/>
      <c r="DG13" s="429"/>
      <c r="DH13" s="429"/>
      <c r="DI13" s="429"/>
      <c r="DJ13" s="429"/>
      <c r="DK13" s="429"/>
      <c r="DL13" s="429"/>
      <c r="DM13" s="432"/>
      <c r="DN13" s="428"/>
    </row>
    <row r="14" spans="2:127" ht="24" thickBot="1">
      <c r="B14" s="436" t="s">
        <v>417</v>
      </c>
      <c r="C14" s="415">
        <v>0.8</v>
      </c>
      <c r="D14" s="437">
        <v>0.53</v>
      </c>
      <c r="E14" s="437">
        <v>1</v>
      </c>
      <c r="F14" s="415">
        <v>0.2</v>
      </c>
      <c r="G14" s="438">
        <v>0.72</v>
      </c>
      <c r="H14" s="438">
        <v>1</v>
      </c>
      <c r="I14" s="439">
        <f>C14+F14</f>
        <v>1</v>
      </c>
      <c r="J14" s="436" t="s">
        <v>115</v>
      </c>
      <c r="K14" s="399"/>
      <c r="M14" s="297"/>
      <c r="V14" s="427" t="s">
        <v>348</v>
      </c>
      <c r="W14" s="399"/>
      <c r="AA14" s="298" t="str">
        <f>BU14</f>
        <v>Renewable Electricity</v>
      </c>
      <c r="AB14" s="440"/>
      <c r="AC14" s="440"/>
      <c r="AD14" s="440"/>
      <c r="AE14" s="582">
        <f>BY14*-1</f>
        <v>0</v>
      </c>
      <c r="AF14" s="605">
        <f t="shared" ref="AF14:BI14" si="17">BZ14*-1</f>
        <v>-72898.692648493758</v>
      </c>
      <c r="AG14" s="605">
        <f t="shared" si="17"/>
        <v>-145797.38529698749</v>
      </c>
      <c r="AH14" s="605">
        <f t="shared" si="17"/>
        <v>-218696.07794548123</v>
      </c>
      <c r="AI14" s="605">
        <f t="shared" si="17"/>
        <v>-291594.77059397497</v>
      </c>
      <c r="AJ14" s="605">
        <f t="shared" si="17"/>
        <v>-364493.46324246872</v>
      </c>
      <c r="AK14" s="605">
        <f t="shared" si="17"/>
        <v>-437392.15589096246</v>
      </c>
      <c r="AL14" s="605">
        <f t="shared" si="17"/>
        <v>-510290.8485394562</v>
      </c>
      <c r="AM14" s="605">
        <f t="shared" si="17"/>
        <v>-583189.54118794994</v>
      </c>
      <c r="AN14" s="605">
        <f t="shared" si="17"/>
        <v>-656088.23383644363</v>
      </c>
      <c r="AO14" s="582">
        <f t="shared" si="17"/>
        <v>-728986.92648493731</v>
      </c>
      <c r="AP14" s="605">
        <f t="shared" si="17"/>
        <v>-720111.68097387138</v>
      </c>
      <c r="AQ14" s="605">
        <f t="shared" si="17"/>
        <v>-711236.43546280451</v>
      </c>
      <c r="AR14" s="605">
        <f t="shared" si="17"/>
        <v>-702361.18995173764</v>
      </c>
      <c r="AS14" s="605">
        <f t="shared" si="17"/>
        <v>-693485.94444067078</v>
      </c>
      <c r="AT14" s="605">
        <f t="shared" si="17"/>
        <v>-684610.69892960391</v>
      </c>
      <c r="AU14" s="605">
        <f t="shared" si="17"/>
        <v>-675735.45341853704</v>
      </c>
      <c r="AV14" s="605">
        <f t="shared" si="17"/>
        <v>-666860.20790747018</v>
      </c>
      <c r="AW14" s="605">
        <f t="shared" si="17"/>
        <v>-657984.96239640331</v>
      </c>
      <c r="AX14" s="605">
        <f t="shared" si="17"/>
        <v>-649109.71688533644</v>
      </c>
      <c r="AY14" s="605">
        <f t="shared" si="17"/>
        <v>-640234.47137426957</v>
      </c>
      <c r="AZ14" s="605">
        <f t="shared" si="17"/>
        <v>-631359.22586320271</v>
      </c>
      <c r="BA14" s="605">
        <f t="shared" si="17"/>
        <v>-622483.98035213584</v>
      </c>
      <c r="BB14" s="605">
        <f t="shared" si="17"/>
        <v>-613608.73484106897</v>
      </c>
      <c r="BC14" s="605">
        <f t="shared" si="17"/>
        <v>-604733.48933000211</v>
      </c>
      <c r="BD14" s="605">
        <f t="shared" si="17"/>
        <v>-595858.24381893524</v>
      </c>
      <c r="BE14" s="605">
        <f t="shared" si="17"/>
        <v>-586982.99830786837</v>
      </c>
      <c r="BF14" s="605">
        <f t="shared" si="17"/>
        <v>-578107.75279680151</v>
      </c>
      <c r="BG14" s="605">
        <f t="shared" si="17"/>
        <v>-569232.50728573464</v>
      </c>
      <c r="BH14" s="605">
        <f t="shared" si="17"/>
        <v>-560357.26177466777</v>
      </c>
      <c r="BI14" s="582">
        <f t="shared" si="17"/>
        <v>-551482.0162636009</v>
      </c>
      <c r="BR14" s="301"/>
      <c r="BS14" s="301"/>
      <c r="BT14" s="301"/>
      <c r="BU14" s="392" t="str">
        <f>B14</f>
        <v>Renewable Electricity</v>
      </c>
      <c r="BV14" s="401"/>
      <c r="BW14" s="401"/>
      <c r="BX14" s="401"/>
      <c r="BY14" s="402">
        <v>0</v>
      </c>
      <c r="BZ14" s="401">
        <f t="shared" ref="BZ14:CH14" si="18">CA14-$DH$14</f>
        <v>72898.692648493758</v>
      </c>
      <c r="CA14" s="401">
        <f t="shared" si="18"/>
        <v>145797.38529698749</v>
      </c>
      <c r="CB14" s="401">
        <f t="shared" si="18"/>
        <v>218696.07794548123</v>
      </c>
      <c r="CC14" s="401">
        <f t="shared" si="18"/>
        <v>291594.77059397497</v>
      </c>
      <c r="CD14" s="401">
        <f t="shared" si="18"/>
        <v>364493.46324246872</v>
      </c>
      <c r="CE14" s="401">
        <f t="shared" si="18"/>
        <v>437392.15589096246</v>
      </c>
      <c r="CF14" s="401">
        <f t="shared" si="18"/>
        <v>510290.8485394562</v>
      </c>
      <c r="CG14" s="401">
        <f t="shared" si="18"/>
        <v>583189.54118794994</v>
      </c>
      <c r="CH14" s="401">
        <f t="shared" si="18"/>
        <v>656088.23383644363</v>
      </c>
      <c r="CI14" s="402">
        <f>DD14</f>
        <v>728986.92648493731</v>
      </c>
      <c r="CJ14" s="401">
        <f t="shared" ref="CJ14:DB14" si="19">CK14-$DK$14</f>
        <v>720111.68097387138</v>
      </c>
      <c r="CK14" s="401">
        <f t="shared" si="19"/>
        <v>711236.43546280451</v>
      </c>
      <c r="CL14" s="401">
        <f t="shared" si="19"/>
        <v>702361.18995173764</v>
      </c>
      <c r="CM14" s="401">
        <f t="shared" si="19"/>
        <v>693485.94444067078</v>
      </c>
      <c r="CN14" s="401">
        <f t="shared" si="19"/>
        <v>684610.69892960391</v>
      </c>
      <c r="CO14" s="401">
        <f t="shared" si="19"/>
        <v>675735.45341853704</v>
      </c>
      <c r="CP14" s="401">
        <f t="shared" si="19"/>
        <v>666860.20790747018</v>
      </c>
      <c r="CQ14" s="401">
        <f t="shared" si="19"/>
        <v>657984.96239640331</v>
      </c>
      <c r="CR14" s="401">
        <f t="shared" si="19"/>
        <v>649109.71688533644</v>
      </c>
      <c r="CS14" s="401">
        <f t="shared" si="19"/>
        <v>640234.47137426957</v>
      </c>
      <c r="CT14" s="401">
        <f t="shared" si="19"/>
        <v>631359.22586320271</v>
      </c>
      <c r="CU14" s="401">
        <f t="shared" si="19"/>
        <v>622483.98035213584</v>
      </c>
      <c r="CV14" s="401">
        <f t="shared" si="19"/>
        <v>613608.73484106897</v>
      </c>
      <c r="CW14" s="401">
        <f t="shared" si="19"/>
        <v>604733.48933000211</v>
      </c>
      <c r="CX14" s="401">
        <f t="shared" si="19"/>
        <v>595858.24381893524</v>
      </c>
      <c r="CY14" s="401">
        <f t="shared" si="19"/>
        <v>586982.99830786837</v>
      </c>
      <c r="CZ14" s="401">
        <f t="shared" si="19"/>
        <v>578107.75279680151</v>
      </c>
      <c r="DA14" s="401">
        <f t="shared" si="19"/>
        <v>569232.50728573464</v>
      </c>
      <c r="DB14" s="401">
        <f t="shared" si="19"/>
        <v>560357.26177466777</v>
      </c>
      <c r="DC14" s="402">
        <f>DJ14</f>
        <v>551482.0162636009</v>
      </c>
      <c r="DD14" s="401">
        <f>IF(C14&lt;=D14,0,((C14-D14)/(E14-D14))*DE14)</f>
        <v>728986.92648493731</v>
      </c>
      <c r="DE14" s="401">
        <f>'Buildings Data'!B81+'Buildings Data'!B90</f>
        <v>1268977.2423997056</v>
      </c>
      <c r="DF14" s="401">
        <f>DE14/($CI$1-$BY$1)</f>
        <v>126897.72423997056</v>
      </c>
      <c r="DG14" s="401">
        <f>((C14-D14)/(E14-D14))*100</f>
        <v>57.446808510638306</v>
      </c>
      <c r="DH14" s="401">
        <f>DF14*DG14/100</f>
        <v>72898.692648493728</v>
      </c>
      <c r="DI14" s="401"/>
      <c r="DJ14" s="401">
        <f>IF(I14&lt;=G14,0,((I14-D14)/(H14-D14))*DL14)</f>
        <v>551482.0162636009</v>
      </c>
      <c r="DK14" s="401">
        <f>(DC14-CI14)/($DC$1-$CI$1)</f>
        <v>-8875.2455110668197</v>
      </c>
      <c r="DL14" s="401">
        <f>'Buildings Data'!D81+'Buildings Data'!D90</f>
        <v>551482.0162636009</v>
      </c>
      <c r="DM14" s="403">
        <f>(I14)*100</f>
        <v>100</v>
      </c>
      <c r="DN14" s="440">
        <f>(DL14*DM14)/((H14-D14)*100)</f>
        <v>1173365.9920502147</v>
      </c>
    </row>
    <row r="15" spans="2:127" ht="30" customHeight="1" thickBot="1">
      <c r="B15" s="422"/>
      <c r="C15" s="333"/>
      <c r="D15" s="423"/>
      <c r="E15" s="423"/>
      <c r="F15" s="434"/>
      <c r="G15" s="424"/>
      <c r="H15" s="424"/>
      <c r="I15" s="425"/>
      <c r="J15" s="404"/>
      <c r="K15" s="409"/>
      <c r="M15" s="297"/>
      <c r="U15" s="297"/>
      <c r="V15" s="562">
        <f>DC41</f>
        <v>1.0021569290444867</v>
      </c>
      <c r="AB15" s="428"/>
      <c r="AC15" s="428"/>
      <c r="AD15" s="428"/>
      <c r="AE15" s="581"/>
      <c r="AF15" s="604"/>
      <c r="AG15" s="604"/>
      <c r="AH15" s="604"/>
      <c r="AI15" s="604"/>
      <c r="AJ15" s="604"/>
      <c r="AK15" s="604"/>
      <c r="AL15" s="604"/>
      <c r="AM15" s="604"/>
      <c r="AN15" s="604"/>
      <c r="AO15" s="581"/>
      <c r="AP15" s="604"/>
      <c r="AQ15" s="604"/>
      <c r="AR15" s="604"/>
      <c r="AS15" s="604"/>
      <c r="AT15" s="604"/>
      <c r="AU15" s="604"/>
      <c r="AV15" s="604"/>
      <c r="AW15" s="604"/>
      <c r="AX15" s="604"/>
      <c r="AY15" s="604"/>
      <c r="AZ15" s="604"/>
      <c r="BA15" s="604"/>
      <c r="BB15" s="604"/>
      <c r="BC15" s="604"/>
      <c r="BD15" s="604"/>
      <c r="BE15" s="604"/>
      <c r="BF15" s="604"/>
      <c r="BG15" s="604"/>
      <c r="BH15" s="604"/>
      <c r="BI15" s="581"/>
      <c r="BR15" s="301"/>
      <c r="BS15" s="301"/>
      <c r="BT15" s="301"/>
      <c r="BU15" s="392"/>
      <c r="BV15" s="429"/>
      <c r="BW15" s="429"/>
      <c r="BX15" s="429"/>
      <c r="BY15" s="430"/>
      <c r="BZ15" s="429"/>
      <c r="CA15" s="429"/>
      <c r="CB15" s="429"/>
      <c r="CC15" s="429"/>
      <c r="CD15" s="429"/>
      <c r="CE15" s="429"/>
      <c r="CF15" s="429"/>
      <c r="CG15" s="429"/>
      <c r="CH15" s="429"/>
      <c r="CI15" s="430"/>
      <c r="CJ15" s="429"/>
      <c r="CK15" s="429"/>
      <c r="CL15" s="429"/>
      <c r="CM15" s="429"/>
      <c r="CN15" s="429"/>
      <c r="CO15" s="429"/>
      <c r="CP15" s="429"/>
      <c r="CQ15" s="429"/>
      <c r="CR15" s="429"/>
      <c r="CS15" s="429"/>
      <c r="CT15" s="429"/>
      <c r="CU15" s="429"/>
      <c r="CV15" s="429"/>
      <c r="CW15" s="429"/>
      <c r="CX15" s="429"/>
      <c r="CY15" s="429"/>
      <c r="CZ15" s="429"/>
      <c r="DA15" s="429"/>
      <c r="DB15" s="429"/>
      <c r="DC15" s="430"/>
      <c r="DD15" s="429"/>
      <c r="DE15" s="429"/>
      <c r="DF15" s="429"/>
      <c r="DG15" s="429"/>
      <c r="DH15" s="429"/>
      <c r="DI15" s="429"/>
      <c r="DJ15" s="429"/>
      <c r="DK15" s="429"/>
      <c r="DL15" s="429"/>
      <c r="DM15" s="432"/>
      <c r="DN15" s="428"/>
    </row>
    <row r="16" spans="2:127" ht="21" thickBot="1">
      <c r="B16" s="565" t="s">
        <v>139</v>
      </c>
      <c r="C16" s="415">
        <v>0</v>
      </c>
      <c r="D16" s="450">
        <v>0</v>
      </c>
      <c r="E16" s="450">
        <v>0.15</v>
      </c>
      <c r="F16" s="415">
        <v>0.2</v>
      </c>
      <c r="G16" s="451">
        <v>0</v>
      </c>
      <c r="H16" s="451">
        <v>0.3</v>
      </c>
      <c r="I16" s="564">
        <f>C16+F16</f>
        <v>0.2</v>
      </c>
      <c r="J16" s="565" t="s">
        <v>280</v>
      </c>
      <c r="K16" s="399"/>
      <c r="W16" s="399"/>
      <c r="AA16" s="298" t="str">
        <f>BU16</f>
        <v>Renewable Natural Gas</v>
      </c>
      <c r="AB16" s="453"/>
      <c r="AC16" s="453"/>
      <c r="AD16" s="453"/>
      <c r="AE16" s="583">
        <f t="shared" ref="AE16:BI16" si="20">BY16*-1</f>
        <v>0</v>
      </c>
      <c r="AF16" s="606">
        <f t="shared" si="20"/>
        <v>0</v>
      </c>
      <c r="AG16" s="606">
        <f t="shared" si="20"/>
        <v>0</v>
      </c>
      <c r="AH16" s="606">
        <f t="shared" si="20"/>
        <v>0</v>
      </c>
      <c r="AI16" s="606">
        <f t="shared" si="20"/>
        <v>0</v>
      </c>
      <c r="AJ16" s="606">
        <f t="shared" si="20"/>
        <v>0</v>
      </c>
      <c r="AK16" s="606">
        <f t="shared" si="20"/>
        <v>0</v>
      </c>
      <c r="AL16" s="606">
        <f t="shared" si="20"/>
        <v>0</v>
      </c>
      <c r="AM16" s="606">
        <f t="shared" si="20"/>
        <v>0</v>
      </c>
      <c r="AN16" s="606">
        <f t="shared" si="20"/>
        <v>0</v>
      </c>
      <c r="AO16" s="583">
        <f t="shared" si="20"/>
        <v>0</v>
      </c>
      <c r="AP16" s="606">
        <f t="shared" si="20"/>
        <v>-5467.58142997911</v>
      </c>
      <c r="AQ16" s="606">
        <f t="shared" si="20"/>
        <v>-10935.162859958233</v>
      </c>
      <c r="AR16" s="606">
        <f t="shared" si="20"/>
        <v>-16402.744289937356</v>
      </c>
      <c r="AS16" s="606">
        <f t="shared" si="20"/>
        <v>-21870.32571991648</v>
      </c>
      <c r="AT16" s="606">
        <f t="shared" si="20"/>
        <v>-27337.907149895604</v>
      </c>
      <c r="AU16" s="606">
        <f t="shared" si="20"/>
        <v>-32805.488579874727</v>
      </c>
      <c r="AV16" s="606">
        <f t="shared" si="20"/>
        <v>-38273.070009853851</v>
      </c>
      <c r="AW16" s="606">
        <f t="shared" si="20"/>
        <v>-43740.651439832975</v>
      </c>
      <c r="AX16" s="606">
        <f t="shared" si="20"/>
        <v>-49208.232869812098</v>
      </c>
      <c r="AY16" s="606">
        <f t="shared" si="20"/>
        <v>-54675.814299791222</v>
      </c>
      <c r="AZ16" s="606">
        <f t="shared" si="20"/>
        <v>-60143.395729770345</v>
      </c>
      <c r="BA16" s="606">
        <f t="shared" si="20"/>
        <v>-65610.977159749469</v>
      </c>
      <c r="BB16" s="606">
        <f t="shared" si="20"/>
        <v>-71078.558589728593</v>
      </c>
      <c r="BC16" s="606">
        <f t="shared" si="20"/>
        <v>-76546.140019707716</v>
      </c>
      <c r="BD16" s="606">
        <f t="shared" si="20"/>
        <v>-82013.72144968684</v>
      </c>
      <c r="BE16" s="606">
        <f t="shared" si="20"/>
        <v>-87481.302879665964</v>
      </c>
      <c r="BF16" s="606">
        <f t="shared" si="20"/>
        <v>-92948.884309645087</v>
      </c>
      <c r="BG16" s="606">
        <f t="shared" si="20"/>
        <v>-98416.465739624211</v>
      </c>
      <c r="BH16" s="606">
        <f t="shared" si="20"/>
        <v>-103884.04716960333</v>
      </c>
      <c r="BI16" s="583">
        <f t="shared" si="20"/>
        <v>-109351.62859958246</v>
      </c>
      <c r="BR16" s="301"/>
      <c r="BS16" s="301"/>
      <c r="BT16" s="301"/>
      <c r="BU16" s="392" t="str">
        <f>B16</f>
        <v>Renewable Natural Gas</v>
      </c>
      <c r="BV16" s="401"/>
      <c r="BW16" s="401"/>
      <c r="BX16" s="401"/>
      <c r="BY16" s="402">
        <f t="shared" ref="BY16:CH16" si="21">BZ16-$DH$16</f>
        <v>0</v>
      </c>
      <c r="BZ16" s="401">
        <f t="shared" si="21"/>
        <v>0</v>
      </c>
      <c r="CA16" s="401">
        <f t="shared" si="21"/>
        <v>0</v>
      </c>
      <c r="CB16" s="401">
        <f t="shared" si="21"/>
        <v>0</v>
      </c>
      <c r="CC16" s="401">
        <f t="shared" si="21"/>
        <v>0</v>
      </c>
      <c r="CD16" s="401">
        <f t="shared" si="21"/>
        <v>0</v>
      </c>
      <c r="CE16" s="401">
        <f t="shared" si="21"/>
        <v>0</v>
      </c>
      <c r="CF16" s="401">
        <f t="shared" si="21"/>
        <v>0</v>
      </c>
      <c r="CG16" s="401">
        <f t="shared" si="21"/>
        <v>0</v>
      </c>
      <c r="CH16" s="401">
        <f t="shared" si="21"/>
        <v>0</v>
      </c>
      <c r="CI16" s="402">
        <f>DD16</f>
        <v>0</v>
      </c>
      <c r="CJ16" s="401">
        <f t="shared" ref="CJ16:DB16" si="22">CK16-$DK$16</f>
        <v>5467.58142997911</v>
      </c>
      <c r="CK16" s="401">
        <f t="shared" si="22"/>
        <v>10935.162859958233</v>
      </c>
      <c r="CL16" s="401">
        <f t="shared" si="22"/>
        <v>16402.744289937356</v>
      </c>
      <c r="CM16" s="401">
        <f t="shared" si="22"/>
        <v>21870.32571991648</v>
      </c>
      <c r="CN16" s="401">
        <f t="shared" si="22"/>
        <v>27337.907149895604</v>
      </c>
      <c r="CO16" s="401">
        <f t="shared" si="22"/>
        <v>32805.488579874727</v>
      </c>
      <c r="CP16" s="401">
        <f t="shared" si="22"/>
        <v>38273.070009853851</v>
      </c>
      <c r="CQ16" s="401">
        <f t="shared" si="22"/>
        <v>43740.651439832975</v>
      </c>
      <c r="CR16" s="401">
        <f t="shared" si="22"/>
        <v>49208.232869812098</v>
      </c>
      <c r="CS16" s="401">
        <f t="shared" si="22"/>
        <v>54675.814299791222</v>
      </c>
      <c r="CT16" s="401">
        <f t="shared" si="22"/>
        <v>60143.395729770345</v>
      </c>
      <c r="CU16" s="401">
        <f t="shared" si="22"/>
        <v>65610.977159749469</v>
      </c>
      <c r="CV16" s="401">
        <f t="shared" si="22"/>
        <v>71078.558589728593</v>
      </c>
      <c r="CW16" s="401">
        <f t="shared" si="22"/>
        <v>76546.140019707716</v>
      </c>
      <c r="CX16" s="401">
        <f t="shared" si="22"/>
        <v>82013.72144968684</v>
      </c>
      <c r="CY16" s="401">
        <f t="shared" si="22"/>
        <v>87481.302879665964</v>
      </c>
      <c r="CZ16" s="401">
        <f t="shared" si="22"/>
        <v>92948.884309645087</v>
      </c>
      <c r="DA16" s="401">
        <f t="shared" si="22"/>
        <v>98416.465739624211</v>
      </c>
      <c r="DB16" s="401">
        <f t="shared" si="22"/>
        <v>103884.04716960333</v>
      </c>
      <c r="DC16" s="402">
        <f>DN16</f>
        <v>109351.62859958246</v>
      </c>
      <c r="DD16" s="401">
        <f>DE16*DG16/(E16*100)</f>
        <v>0</v>
      </c>
      <c r="DE16" s="401">
        <f>IF(I18+I20=0,'Buildings Data'!B101,'Buildings Data'!B100)</f>
        <v>108908.70468871815</v>
      </c>
      <c r="DF16" s="401">
        <f>DE16/($CI$1-$BY$1)</f>
        <v>10890.870468871815</v>
      </c>
      <c r="DG16" s="401">
        <f>C16*100</f>
        <v>0</v>
      </c>
      <c r="DH16" s="401">
        <f>DF16*DG16/(E16*100)</f>
        <v>0</v>
      </c>
      <c r="DI16" s="401"/>
      <c r="DJ16" s="401">
        <f>(DL16*I16)/(H16)</f>
        <v>109351.62859958246</v>
      </c>
      <c r="DK16" s="401">
        <f>(DC16-CI16)/($DC$1-$CI$1)</f>
        <v>5467.5814299791227</v>
      </c>
      <c r="DL16" s="401">
        <f>IF(I18+I20=0,'Buildings Data'!D101,'Buildings Data'!D100)</f>
        <v>164027.44289937368</v>
      </c>
      <c r="DM16" s="403">
        <f>(I16)*100</f>
        <v>20</v>
      </c>
      <c r="DN16" s="453">
        <f>DL16*DM16/(H16*100)</f>
        <v>109351.62859958246</v>
      </c>
    </row>
    <row r="17" spans="1:118" ht="24" customHeight="1" thickBot="1">
      <c r="B17" s="422"/>
      <c r="C17" s="333"/>
      <c r="D17" s="423"/>
      <c r="E17" s="423"/>
      <c r="F17" s="333"/>
      <c r="G17" s="424"/>
      <c r="H17" s="424"/>
      <c r="I17" s="425"/>
      <c r="J17" s="404"/>
      <c r="K17" s="409"/>
      <c r="M17" s="297"/>
      <c r="U17" s="297"/>
      <c r="V17" s="563"/>
      <c r="AB17" s="428"/>
      <c r="AC17" s="428"/>
      <c r="AD17" s="428"/>
      <c r="AE17" s="581"/>
      <c r="AF17" s="604"/>
      <c r="AG17" s="604"/>
      <c r="AH17" s="604"/>
      <c r="AI17" s="604"/>
      <c r="AJ17" s="604"/>
      <c r="AK17" s="604"/>
      <c r="AL17" s="604"/>
      <c r="AM17" s="604"/>
      <c r="AN17" s="604"/>
      <c r="AO17" s="581"/>
      <c r="AP17" s="604"/>
      <c r="AQ17" s="604"/>
      <c r="AR17" s="604"/>
      <c r="AS17" s="604"/>
      <c r="AT17" s="604"/>
      <c r="AU17" s="604"/>
      <c r="AV17" s="604"/>
      <c r="AW17" s="604"/>
      <c r="AX17" s="604"/>
      <c r="AY17" s="604"/>
      <c r="AZ17" s="604"/>
      <c r="BA17" s="604"/>
      <c r="BB17" s="604"/>
      <c r="BC17" s="604"/>
      <c r="BD17" s="604"/>
      <c r="BE17" s="604"/>
      <c r="BF17" s="604"/>
      <c r="BG17" s="604"/>
      <c r="BH17" s="604"/>
      <c r="BI17" s="581"/>
      <c r="BR17" s="301"/>
      <c r="BS17" s="301"/>
      <c r="BT17" s="301"/>
      <c r="BU17" s="392"/>
      <c r="BV17" s="429"/>
      <c r="BW17" s="429"/>
      <c r="BX17" s="429"/>
      <c r="BY17" s="430"/>
      <c r="BZ17" s="429"/>
      <c r="CA17" s="429"/>
      <c r="CB17" s="429"/>
      <c r="CC17" s="429"/>
      <c r="CD17" s="429"/>
      <c r="CE17" s="429"/>
      <c r="CF17" s="429"/>
      <c r="CG17" s="429"/>
      <c r="CH17" s="429"/>
      <c r="CI17" s="430"/>
      <c r="CJ17" s="429"/>
      <c r="CK17" s="429"/>
      <c r="CL17" s="429"/>
      <c r="CM17" s="429"/>
      <c r="CN17" s="429"/>
      <c r="CO17" s="429"/>
      <c r="CP17" s="429"/>
      <c r="CQ17" s="429"/>
      <c r="CR17" s="429"/>
      <c r="CS17" s="429"/>
      <c r="CT17" s="429"/>
      <c r="CU17" s="429"/>
      <c r="CV17" s="429"/>
      <c r="CW17" s="429"/>
      <c r="CX17" s="429"/>
      <c r="CY17" s="429"/>
      <c r="CZ17" s="429"/>
      <c r="DA17" s="429"/>
      <c r="DB17" s="429"/>
      <c r="DC17" s="430"/>
      <c r="DD17" s="429"/>
      <c r="DE17" s="429"/>
      <c r="DF17" s="429"/>
      <c r="DG17" s="429"/>
      <c r="DH17" s="429"/>
      <c r="DI17" s="429"/>
      <c r="DJ17" s="429"/>
      <c r="DK17" s="429"/>
      <c r="DL17" s="429"/>
      <c r="DM17" s="432"/>
      <c r="DN17" s="428"/>
    </row>
    <row r="18" spans="1:118" ht="24" customHeight="1" thickBot="1">
      <c r="B18" s="441" t="s">
        <v>451</v>
      </c>
      <c r="C18" s="415">
        <v>0.1</v>
      </c>
      <c r="D18" s="442">
        <v>0</v>
      </c>
      <c r="E18" s="442">
        <v>1</v>
      </c>
      <c r="F18" s="415">
        <v>0.9</v>
      </c>
      <c r="G18" s="443">
        <v>0</v>
      </c>
      <c r="H18" s="443">
        <v>1</v>
      </c>
      <c r="I18" s="444">
        <f>C18+F18</f>
        <v>1</v>
      </c>
      <c r="J18" s="445" t="s">
        <v>326</v>
      </c>
      <c r="K18" s="399"/>
      <c r="M18" s="297"/>
      <c r="U18" s="297"/>
      <c r="V18" s="563"/>
      <c r="W18" s="399"/>
      <c r="AA18" s="298" t="str">
        <f>BU18</f>
        <v>Residential Electrification (existing homes)</v>
      </c>
      <c r="AB18" s="446"/>
      <c r="AC18" s="446"/>
      <c r="AD18" s="446"/>
      <c r="AE18" s="584">
        <f>BY18*-1</f>
        <v>0</v>
      </c>
      <c r="AF18" s="607">
        <f t="shared" ref="AF18:BI18" si="23">BZ18*-1</f>
        <v>-539.28086891362511</v>
      </c>
      <c r="AG18" s="607">
        <f t="shared" si="23"/>
        <v>-1078.56173782725</v>
      </c>
      <c r="AH18" s="607">
        <f t="shared" si="23"/>
        <v>-1617.842606740875</v>
      </c>
      <c r="AI18" s="607">
        <f t="shared" si="23"/>
        <v>-2157.1234756545</v>
      </c>
      <c r="AJ18" s="607">
        <f t="shared" si="23"/>
        <v>-2696.404344568125</v>
      </c>
      <c r="AK18" s="607">
        <f t="shared" si="23"/>
        <v>-3235.68521348175</v>
      </c>
      <c r="AL18" s="607">
        <f t="shared" si="23"/>
        <v>-3774.966082395375</v>
      </c>
      <c r="AM18" s="607">
        <f t="shared" si="23"/>
        <v>-4314.246951309</v>
      </c>
      <c r="AN18" s="607">
        <f t="shared" si="23"/>
        <v>-4853.5278202226245</v>
      </c>
      <c r="AO18" s="584">
        <f t="shared" si="23"/>
        <v>-5392.8086891362491</v>
      </c>
      <c r="AP18" s="607">
        <f t="shared" si="23"/>
        <v>-16543.309583440074</v>
      </c>
      <c r="AQ18" s="607">
        <f t="shared" si="23"/>
        <v>-27693.810477743857</v>
      </c>
      <c r="AR18" s="607">
        <f t="shared" si="23"/>
        <v>-38844.311372047639</v>
      </c>
      <c r="AS18" s="607">
        <f t="shared" si="23"/>
        <v>-49994.812266351422</v>
      </c>
      <c r="AT18" s="607">
        <f t="shared" si="23"/>
        <v>-61145.313160655205</v>
      </c>
      <c r="AU18" s="607">
        <f t="shared" si="23"/>
        <v>-72295.814054958988</v>
      </c>
      <c r="AV18" s="607">
        <f t="shared" si="23"/>
        <v>-83446.314949262771</v>
      </c>
      <c r="AW18" s="607">
        <f t="shared" si="23"/>
        <v>-94596.815843566554</v>
      </c>
      <c r="AX18" s="607">
        <f t="shared" si="23"/>
        <v>-105747.31673787034</v>
      </c>
      <c r="AY18" s="607">
        <f t="shared" si="23"/>
        <v>-116897.81763217412</v>
      </c>
      <c r="AZ18" s="607">
        <f t="shared" si="23"/>
        <v>-128048.3185264779</v>
      </c>
      <c r="BA18" s="607">
        <f t="shared" si="23"/>
        <v>-139198.81942078169</v>
      </c>
      <c r="BB18" s="607">
        <f t="shared" si="23"/>
        <v>-150349.32031508547</v>
      </c>
      <c r="BC18" s="607">
        <f t="shared" si="23"/>
        <v>-161499.82120938925</v>
      </c>
      <c r="BD18" s="607">
        <f t="shared" si="23"/>
        <v>-172650.32210369303</v>
      </c>
      <c r="BE18" s="607">
        <f t="shared" si="23"/>
        <v>-183800.82299799682</v>
      </c>
      <c r="BF18" s="607">
        <f t="shared" si="23"/>
        <v>-194951.3238923006</v>
      </c>
      <c r="BG18" s="607">
        <f t="shared" si="23"/>
        <v>-206101.82478660438</v>
      </c>
      <c r="BH18" s="607">
        <f t="shared" si="23"/>
        <v>-217252.32568090816</v>
      </c>
      <c r="BI18" s="584">
        <f t="shared" si="23"/>
        <v>-228402.82657521195</v>
      </c>
      <c r="BR18" s="301"/>
      <c r="BS18" s="301"/>
      <c r="BT18" s="301"/>
      <c r="BU18" s="392" t="str">
        <f>B18</f>
        <v>Residential Electrification (existing homes)</v>
      </c>
      <c r="BV18" s="401"/>
      <c r="BW18" s="401"/>
      <c r="BX18" s="401"/>
      <c r="BY18" s="402">
        <f t="shared" ref="BY18:CG18" si="24">BZ18-$DH$18</f>
        <v>0</v>
      </c>
      <c r="BZ18" s="401">
        <f>CA18-$DH$18</f>
        <v>539.28086891362511</v>
      </c>
      <c r="CA18" s="401">
        <f t="shared" si="24"/>
        <v>1078.56173782725</v>
      </c>
      <c r="CB18" s="401">
        <f t="shared" si="24"/>
        <v>1617.842606740875</v>
      </c>
      <c r="CC18" s="401">
        <f t="shared" si="24"/>
        <v>2157.1234756545</v>
      </c>
      <c r="CD18" s="401">
        <f t="shared" si="24"/>
        <v>2696.404344568125</v>
      </c>
      <c r="CE18" s="401">
        <f t="shared" si="24"/>
        <v>3235.68521348175</v>
      </c>
      <c r="CF18" s="401">
        <f t="shared" si="24"/>
        <v>3774.966082395375</v>
      </c>
      <c r="CG18" s="401">
        <f t="shared" si="24"/>
        <v>4314.246951309</v>
      </c>
      <c r="CH18" s="401">
        <f>CI18-$DH$18</f>
        <v>4853.5278202226245</v>
      </c>
      <c r="CI18" s="402">
        <f>DD18</f>
        <v>5392.8086891362491</v>
      </c>
      <c r="CJ18" s="401">
        <f t="shared" ref="CJ18:DA18" si="25">CK18-$DK$18</f>
        <v>16543.309583440074</v>
      </c>
      <c r="CK18" s="401">
        <f t="shared" si="25"/>
        <v>27693.810477743857</v>
      </c>
      <c r="CL18" s="401">
        <f t="shared" si="25"/>
        <v>38844.311372047639</v>
      </c>
      <c r="CM18" s="401">
        <f t="shared" si="25"/>
        <v>49994.812266351422</v>
      </c>
      <c r="CN18" s="401">
        <f t="shared" si="25"/>
        <v>61145.313160655205</v>
      </c>
      <c r="CO18" s="401">
        <f t="shared" si="25"/>
        <v>72295.814054958988</v>
      </c>
      <c r="CP18" s="401">
        <f t="shared" si="25"/>
        <v>83446.314949262771</v>
      </c>
      <c r="CQ18" s="401">
        <f t="shared" si="25"/>
        <v>94596.815843566554</v>
      </c>
      <c r="CR18" s="401">
        <f t="shared" si="25"/>
        <v>105747.31673787034</v>
      </c>
      <c r="CS18" s="401">
        <f t="shared" si="25"/>
        <v>116897.81763217412</v>
      </c>
      <c r="CT18" s="401">
        <f t="shared" si="25"/>
        <v>128048.3185264779</v>
      </c>
      <c r="CU18" s="401">
        <f t="shared" si="25"/>
        <v>139198.81942078169</v>
      </c>
      <c r="CV18" s="401">
        <f t="shared" si="25"/>
        <v>150349.32031508547</v>
      </c>
      <c r="CW18" s="401">
        <f t="shared" si="25"/>
        <v>161499.82120938925</v>
      </c>
      <c r="CX18" s="401">
        <f t="shared" si="25"/>
        <v>172650.32210369303</v>
      </c>
      <c r="CY18" s="401">
        <f t="shared" si="25"/>
        <v>183800.82299799682</v>
      </c>
      <c r="CZ18" s="401">
        <f t="shared" si="25"/>
        <v>194951.3238923006</v>
      </c>
      <c r="DA18" s="401">
        <f t="shared" si="25"/>
        <v>206101.82478660438</v>
      </c>
      <c r="DB18" s="401">
        <f>DC18-$DK$18</f>
        <v>217252.32568090816</v>
      </c>
      <c r="DC18" s="402">
        <f>DN18</f>
        <v>228402.82657521195</v>
      </c>
      <c r="DD18" s="401">
        <f>DE18*DG18/(E18*100)</f>
        <v>5392.8086891362491</v>
      </c>
      <c r="DE18" s="401">
        <f>'Buildings Data'!B83*C14</f>
        <v>53928.086891362494</v>
      </c>
      <c r="DF18" s="401">
        <f>DE18/($CI$1-$BY$1)</f>
        <v>5392.8086891362491</v>
      </c>
      <c r="DG18" s="401">
        <f>C18*100</f>
        <v>10</v>
      </c>
      <c r="DH18" s="401">
        <f>DF18*DG18/(E18*100)</f>
        <v>539.28086891362489</v>
      </c>
      <c r="DI18" s="401"/>
      <c r="DJ18" s="401">
        <f>(DL18*I18)/(H18)</f>
        <v>228402.82657521195</v>
      </c>
      <c r="DK18" s="401">
        <f>(DC18-CI18)/($DC$1-$CI$1)</f>
        <v>11150.500894303785</v>
      </c>
      <c r="DL18" s="401">
        <f>'Buildings Data'!D83*I14</f>
        <v>228402.82657521195</v>
      </c>
      <c r="DM18" s="403">
        <f>(I18)*100</f>
        <v>100</v>
      </c>
      <c r="DN18" s="446">
        <f>DL18*DM18/(H18*100)</f>
        <v>228402.82657521195</v>
      </c>
    </row>
    <row r="19" spans="1:118" ht="21" thickBot="1">
      <c r="B19" s="433"/>
      <c r="C19" s="434"/>
      <c r="D19" s="435"/>
      <c r="E19" s="435"/>
      <c r="F19" s="434"/>
      <c r="G19" s="424"/>
      <c r="H19" s="424"/>
      <c r="I19" s="425"/>
      <c r="J19" s="433"/>
      <c r="U19" s="297"/>
      <c r="AB19" s="428"/>
      <c r="AC19" s="428"/>
      <c r="AD19" s="428"/>
      <c r="AE19" s="581"/>
      <c r="AF19" s="604"/>
      <c r="AG19" s="604"/>
      <c r="AH19" s="604"/>
      <c r="AI19" s="604"/>
      <c r="AJ19" s="604"/>
      <c r="AK19" s="604"/>
      <c r="AL19" s="604"/>
      <c r="AM19" s="604"/>
      <c r="AN19" s="604"/>
      <c r="AO19" s="581"/>
      <c r="AP19" s="604"/>
      <c r="AQ19" s="604"/>
      <c r="AR19" s="604"/>
      <c r="AS19" s="604"/>
      <c r="AT19" s="604"/>
      <c r="AU19" s="604"/>
      <c r="AV19" s="604"/>
      <c r="AW19" s="604"/>
      <c r="AX19" s="604"/>
      <c r="AY19" s="604"/>
      <c r="AZ19" s="604"/>
      <c r="BA19" s="604"/>
      <c r="BB19" s="604"/>
      <c r="BC19" s="604"/>
      <c r="BD19" s="604"/>
      <c r="BE19" s="604"/>
      <c r="BF19" s="604"/>
      <c r="BG19" s="604"/>
      <c r="BH19" s="604"/>
      <c r="BI19" s="581"/>
      <c r="BR19" s="301"/>
      <c r="BS19" s="301"/>
      <c r="BT19" s="301"/>
      <c r="BU19" s="392"/>
      <c r="BV19" s="429"/>
      <c r="BW19" s="429"/>
      <c r="BX19" s="429"/>
      <c r="BY19" s="430"/>
      <c r="BZ19" s="429"/>
      <c r="CA19" s="429"/>
      <c r="CB19" s="429"/>
      <c r="CC19" s="429"/>
      <c r="CD19" s="429"/>
      <c r="CE19" s="429"/>
      <c r="CF19" s="429"/>
      <c r="CG19" s="429"/>
      <c r="CH19" s="429"/>
      <c r="CI19" s="430"/>
      <c r="CJ19" s="429"/>
      <c r="CK19" s="429"/>
      <c r="CL19" s="429"/>
      <c r="CM19" s="429"/>
      <c r="CN19" s="429"/>
      <c r="CO19" s="429"/>
      <c r="CP19" s="429"/>
      <c r="CQ19" s="429"/>
      <c r="CR19" s="429"/>
      <c r="CS19" s="429"/>
      <c r="CT19" s="429"/>
      <c r="CU19" s="429"/>
      <c r="CV19" s="429"/>
      <c r="CW19" s="429"/>
      <c r="CX19" s="429"/>
      <c r="CY19" s="429"/>
      <c r="CZ19" s="429"/>
      <c r="DA19" s="429"/>
      <c r="DB19" s="429"/>
      <c r="DC19" s="430"/>
      <c r="DD19" s="429"/>
      <c r="DE19" s="429"/>
      <c r="DF19" s="429"/>
      <c r="DG19" s="429"/>
      <c r="DH19" s="429"/>
      <c r="DI19" s="429"/>
      <c r="DJ19" s="429"/>
      <c r="DK19" s="429"/>
      <c r="DL19" s="429"/>
      <c r="DM19" s="432"/>
      <c r="DN19" s="428"/>
    </row>
    <row r="20" spans="1:118" ht="21" thickBot="1">
      <c r="B20" s="441" t="s">
        <v>452</v>
      </c>
      <c r="C20" s="415">
        <v>0.1</v>
      </c>
      <c r="D20" s="442">
        <v>0</v>
      </c>
      <c r="E20" s="442">
        <v>1</v>
      </c>
      <c r="F20" s="415">
        <v>0.9</v>
      </c>
      <c r="G20" s="443">
        <v>0</v>
      </c>
      <c r="H20" s="443">
        <v>1</v>
      </c>
      <c r="I20" s="444">
        <f>C20+F20</f>
        <v>1</v>
      </c>
      <c r="J20" s="445" t="s">
        <v>331</v>
      </c>
      <c r="K20" s="399"/>
      <c r="W20" s="399"/>
      <c r="AA20" s="298" t="str">
        <f>BU20</f>
        <v>Commercial Electrification (existing buildings)</v>
      </c>
      <c r="AB20" s="446"/>
      <c r="AC20" s="446"/>
      <c r="AD20" s="446"/>
      <c r="AE20" s="584">
        <f>BY20*-1</f>
        <v>9.0949470177292824E-13</v>
      </c>
      <c r="AF20" s="607">
        <f t="shared" ref="AF20:AM20" si="26">BZ20*-1</f>
        <v>-783.75607215709942</v>
      </c>
      <c r="AG20" s="607">
        <f t="shared" si="26"/>
        <v>-1567.5121443141998</v>
      </c>
      <c r="AH20" s="607">
        <f t="shared" si="26"/>
        <v>-2351.2682164713001</v>
      </c>
      <c r="AI20" s="607">
        <f t="shared" si="26"/>
        <v>-3135.0242886284004</v>
      </c>
      <c r="AJ20" s="607">
        <f t="shared" si="26"/>
        <v>-3918.7803607855008</v>
      </c>
      <c r="AK20" s="607">
        <f t="shared" si="26"/>
        <v>-4702.5364329426011</v>
      </c>
      <c r="AL20" s="607">
        <f t="shared" si="26"/>
        <v>-5486.2925050997019</v>
      </c>
      <c r="AM20" s="607">
        <f t="shared" si="26"/>
        <v>-6270.0485772568027</v>
      </c>
      <c r="AN20" s="607">
        <f>CH20*-1</f>
        <v>-7053.8046494139035</v>
      </c>
      <c r="AO20" s="584">
        <f t="shared" ref="AO20:BI20" si="27">CI20*-1</f>
        <v>-7837.5607215710033</v>
      </c>
      <c r="AP20" s="607">
        <f t="shared" si="27"/>
        <v>-20715.353289827384</v>
      </c>
      <c r="AQ20" s="607">
        <f t="shared" si="27"/>
        <v>-33593.145858083735</v>
      </c>
      <c r="AR20" s="607">
        <f t="shared" si="27"/>
        <v>-46470.938426340086</v>
      </c>
      <c r="AS20" s="607">
        <f t="shared" si="27"/>
        <v>-59348.730994596437</v>
      </c>
      <c r="AT20" s="607">
        <f t="shared" si="27"/>
        <v>-72226.523562852788</v>
      </c>
      <c r="AU20" s="607">
        <f t="shared" si="27"/>
        <v>-85104.316131109139</v>
      </c>
      <c r="AV20" s="607">
        <f t="shared" si="27"/>
        <v>-97982.10869936549</v>
      </c>
      <c r="AW20" s="607">
        <f t="shared" si="27"/>
        <v>-110859.90126762184</v>
      </c>
      <c r="AX20" s="607">
        <f t="shared" si="27"/>
        <v>-123737.69383587819</v>
      </c>
      <c r="AY20" s="607">
        <f t="shared" si="27"/>
        <v>-136615.48640413454</v>
      </c>
      <c r="AZ20" s="607">
        <f t="shared" si="27"/>
        <v>-149493.27897239089</v>
      </c>
      <c r="BA20" s="607">
        <f t="shared" si="27"/>
        <v>-162371.07154064724</v>
      </c>
      <c r="BB20" s="607">
        <f t="shared" si="27"/>
        <v>-175248.8641089036</v>
      </c>
      <c r="BC20" s="607">
        <f t="shared" si="27"/>
        <v>-188126.65667715995</v>
      </c>
      <c r="BD20" s="607">
        <f t="shared" si="27"/>
        <v>-201004.4492454163</v>
      </c>
      <c r="BE20" s="607">
        <f t="shared" si="27"/>
        <v>-213882.24181367265</v>
      </c>
      <c r="BF20" s="607">
        <f t="shared" si="27"/>
        <v>-226760.034381929</v>
      </c>
      <c r="BG20" s="607">
        <f t="shared" si="27"/>
        <v>-239637.82695018535</v>
      </c>
      <c r="BH20" s="607">
        <f t="shared" si="27"/>
        <v>-252515.6195184417</v>
      </c>
      <c r="BI20" s="584">
        <f t="shared" si="27"/>
        <v>-265393.41208669805</v>
      </c>
      <c r="BR20" s="301"/>
      <c r="BS20" s="301"/>
      <c r="BT20" s="301"/>
      <c r="BU20" s="392" t="str">
        <f>B20</f>
        <v>Commercial Electrification (existing buildings)</v>
      </c>
      <c r="BV20" s="401"/>
      <c r="BW20" s="401"/>
      <c r="BX20" s="401"/>
      <c r="BY20" s="402">
        <f t="shared" ref="BY20:CG20" si="28">BZ20-$DH$20</f>
        <v>-9.0949470177292824E-13</v>
      </c>
      <c r="BZ20" s="401">
        <f t="shared" si="28"/>
        <v>783.75607215709942</v>
      </c>
      <c r="CA20" s="401">
        <f t="shared" si="28"/>
        <v>1567.5121443141998</v>
      </c>
      <c r="CB20" s="401">
        <f t="shared" si="28"/>
        <v>2351.2682164713001</v>
      </c>
      <c r="CC20" s="401">
        <f t="shared" si="28"/>
        <v>3135.0242886284004</v>
      </c>
      <c r="CD20" s="401">
        <f t="shared" si="28"/>
        <v>3918.7803607855008</v>
      </c>
      <c r="CE20" s="401">
        <f t="shared" si="28"/>
        <v>4702.5364329426011</v>
      </c>
      <c r="CF20" s="401">
        <f t="shared" si="28"/>
        <v>5486.2925050997019</v>
      </c>
      <c r="CG20" s="401">
        <f t="shared" si="28"/>
        <v>6270.0485772568027</v>
      </c>
      <c r="CH20" s="401">
        <f>CI20-$DH$20</f>
        <v>7053.8046494139035</v>
      </c>
      <c r="CI20" s="402">
        <f>DD20</f>
        <v>7837.5607215710033</v>
      </c>
      <c r="CJ20" s="401">
        <f t="shared" ref="CJ20:DA20" si="29">CK20-$DK$20</f>
        <v>20715.353289827384</v>
      </c>
      <c r="CK20" s="401">
        <f t="shared" si="29"/>
        <v>33593.145858083735</v>
      </c>
      <c r="CL20" s="401">
        <f t="shared" si="29"/>
        <v>46470.938426340086</v>
      </c>
      <c r="CM20" s="401">
        <f t="shared" si="29"/>
        <v>59348.730994596437</v>
      </c>
      <c r="CN20" s="401">
        <f t="shared" si="29"/>
        <v>72226.523562852788</v>
      </c>
      <c r="CO20" s="401">
        <f t="shared" si="29"/>
        <v>85104.316131109139</v>
      </c>
      <c r="CP20" s="401">
        <f t="shared" si="29"/>
        <v>97982.10869936549</v>
      </c>
      <c r="CQ20" s="401">
        <f t="shared" si="29"/>
        <v>110859.90126762184</v>
      </c>
      <c r="CR20" s="401">
        <f t="shared" si="29"/>
        <v>123737.69383587819</v>
      </c>
      <c r="CS20" s="401">
        <f t="shared" si="29"/>
        <v>136615.48640413454</v>
      </c>
      <c r="CT20" s="401">
        <f t="shared" si="29"/>
        <v>149493.27897239089</v>
      </c>
      <c r="CU20" s="401">
        <f t="shared" si="29"/>
        <v>162371.07154064724</v>
      </c>
      <c r="CV20" s="401">
        <f t="shared" si="29"/>
        <v>175248.8641089036</v>
      </c>
      <c r="CW20" s="401">
        <f t="shared" si="29"/>
        <v>188126.65667715995</v>
      </c>
      <c r="CX20" s="401">
        <f t="shared" si="29"/>
        <v>201004.4492454163</v>
      </c>
      <c r="CY20" s="401">
        <f t="shared" si="29"/>
        <v>213882.24181367265</v>
      </c>
      <c r="CZ20" s="401">
        <f t="shared" si="29"/>
        <v>226760.034381929</v>
      </c>
      <c r="DA20" s="401">
        <f t="shared" si="29"/>
        <v>239637.82695018535</v>
      </c>
      <c r="DB20" s="401">
        <f>DC20-$DK$20</f>
        <v>252515.6195184417</v>
      </c>
      <c r="DC20" s="402">
        <f>DN20</f>
        <v>265393.41208669805</v>
      </c>
      <c r="DD20" s="401">
        <f>DE20*DG20/(E20*100)</f>
        <v>7837.5607215710033</v>
      </c>
      <c r="DE20" s="401">
        <f>'Buildings Data'!B84*C14</f>
        <v>78375.607215710028</v>
      </c>
      <c r="DF20" s="401">
        <f>DE20/($CI$1-$BY$1)</f>
        <v>7837.5607215710024</v>
      </c>
      <c r="DG20" s="401">
        <f>C20*100</f>
        <v>10</v>
      </c>
      <c r="DH20" s="401">
        <f>DF20*DG20/(E20*100)</f>
        <v>783.75607215710033</v>
      </c>
      <c r="DI20" s="401"/>
      <c r="DJ20" s="401">
        <f>(DL20*I20)/(H20)</f>
        <v>265393.41208669805</v>
      </c>
      <c r="DK20" s="401">
        <f>(DC20-CI20)/($DC$1-$CI$1)</f>
        <v>12877.792568256353</v>
      </c>
      <c r="DL20" s="637">
        <f>'Buildings Data'!D84*I14</f>
        <v>265393.41208669805</v>
      </c>
      <c r="DM20" s="403">
        <f>(I20)*100</f>
        <v>100</v>
      </c>
      <c r="DN20" s="446">
        <f>DL20*DM20/(H20*100)</f>
        <v>265393.41208669805</v>
      </c>
    </row>
    <row r="21" spans="1:118" s="297" customFormat="1" ht="24" thickBot="1">
      <c r="B21" s="487"/>
      <c r="C21" s="633"/>
      <c r="D21" s="435"/>
      <c r="E21" s="435"/>
      <c r="F21" s="633"/>
      <c r="G21" s="435"/>
      <c r="H21" s="435"/>
      <c r="I21" s="634"/>
      <c r="J21" s="487"/>
      <c r="K21" s="399"/>
      <c r="V21" s="427"/>
      <c r="W21" s="399"/>
      <c r="AA21" s="490"/>
      <c r="AB21" s="491"/>
      <c r="AC21" s="491"/>
      <c r="AD21" s="491"/>
      <c r="AE21" s="492"/>
      <c r="AF21" s="491"/>
      <c r="AG21" s="491"/>
      <c r="AH21" s="491"/>
      <c r="AI21" s="491"/>
      <c r="AJ21" s="491"/>
      <c r="AK21" s="491"/>
      <c r="AL21" s="491"/>
      <c r="AM21" s="491"/>
      <c r="AN21" s="491"/>
      <c r="AO21" s="492"/>
      <c r="AP21" s="491"/>
      <c r="AQ21" s="491"/>
      <c r="AR21" s="491"/>
      <c r="AS21" s="491"/>
      <c r="AT21" s="491"/>
      <c r="AU21" s="491"/>
      <c r="AV21" s="491"/>
      <c r="AW21" s="491"/>
      <c r="AX21" s="491"/>
      <c r="AY21" s="491"/>
      <c r="AZ21" s="491"/>
      <c r="BA21" s="491"/>
      <c r="BB21" s="491"/>
      <c r="BC21" s="491"/>
      <c r="BD21" s="491"/>
      <c r="BE21" s="491"/>
      <c r="BF21" s="491"/>
      <c r="BG21" s="491"/>
      <c r="BH21" s="491"/>
      <c r="BI21" s="492"/>
      <c r="BR21" s="301"/>
      <c r="BS21" s="301"/>
      <c r="BT21" s="301"/>
      <c r="BU21" s="392"/>
      <c r="BV21" s="401"/>
      <c r="BW21" s="401"/>
      <c r="BX21" s="401"/>
      <c r="BY21" s="402"/>
      <c r="BZ21" s="401"/>
      <c r="CA21" s="401"/>
      <c r="CB21" s="401"/>
      <c r="CC21" s="401"/>
      <c r="CD21" s="401"/>
      <c r="CE21" s="401"/>
      <c r="CF21" s="401"/>
      <c r="CG21" s="401"/>
      <c r="CH21" s="401"/>
      <c r="CI21" s="402"/>
      <c r="CJ21" s="401"/>
      <c r="CK21" s="401"/>
      <c r="CL21" s="401"/>
      <c r="CM21" s="401"/>
      <c r="CN21" s="401"/>
      <c r="CO21" s="401"/>
      <c r="CP21" s="401"/>
      <c r="CQ21" s="401"/>
      <c r="CR21" s="401"/>
      <c r="CS21" s="401"/>
      <c r="CT21" s="401"/>
      <c r="CU21" s="401"/>
      <c r="CV21" s="401"/>
      <c r="CW21" s="401"/>
      <c r="CX21" s="401"/>
      <c r="CY21" s="401"/>
      <c r="CZ21" s="401"/>
      <c r="DA21" s="401"/>
      <c r="DB21" s="401"/>
      <c r="DC21" s="402"/>
      <c r="DD21" s="401"/>
      <c r="DE21" s="401"/>
      <c r="DF21" s="401"/>
      <c r="DG21" s="401"/>
      <c r="DH21" s="401"/>
      <c r="DI21" s="401"/>
      <c r="DJ21" s="401"/>
      <c r="DK21" s="401"/>
      <c r="DL21" s="401"/>
      <c r="DM21" s="403"/>
      <c r="DN21" s="491"/>
    </row>
    <row r="22" spans="1:118" ht="21" thickBot="1">
      <c r="B22" s="449" t="s">
        <v>474</v>
      </c>
      <c r="C22" s="415" t="s">
        <v>448</v>
      </c>
      <c r="D22" s="450"/>
      <c r="E22" s="450"/>
      <c r="F22" s="415" t="s">
        <v>448</v>
      </c>
      <c r="G22" s="451"/>
      <c r="H22" s="451"/>
      <c r="I22" s="452"/>
      <c r="J22" s="449" t="s">
        <v>475</v>
      </c>
      <c r="K22" s="399"/>
      <c r="W22" s="399"/>
      <c r="AA22" s="298" t="str">
        <f>BU22</f>
        <v>Natural Gas in New Construction</v>
      </c>
      <c r="AB22" s="453"/>
      <c r="AC22" s="453"/>
      <c r="AD22" s="453"/>
      <c r="AE22" s="585">
        <f>BY22*-1</f>
        <v>0</v>
      </c>
      <c r="AF22" s="608">
        <f t="shared" ref="AF22:BH22" si="30">BZ22*-1</f>
        <v>0</v>
      </c>
      <c r="AG22" s="608">
        <f t="shared" si="30"/>
        <v>0</v>
      </c>
      <c r="AH22" s="608">
        <f t="shared" si="30"/>
        <v>0</v>
      </c>
      <c r="AI22" s="608">
        <f t="shared" si="30"/>
        <v>0</v>
      </c>
      <c r="AJ22" s="608">
        <f t="shared" si="30"/>
        <v>0</v>
      </c>
      <c r="AK22" s="608">
        <f t="shared" si="30"/>
        <v>0</v>
      </c>
      <c r="AL22" s="608">
        <f t="shared" si="30"/>
        <v>0</v>
      </c>
      <c r="AM22" s="608">
        <f t="shared" si="30"/>
        <v>0</v>
      </c>
      <c r="AN22" s="608">
        <f t="shared" si="30"/>
        <v>0</v>
      </c>
      <c r="AO22" s="585">
        <f t="shared" si="30"/>
        <v>0</v>
      </c>
      <c r="AP22" s="608">
        <f t="shared" si="30"/>
        <v>0</v>
      </c>
      <c r="AQ22" s="608">
        <f t="shared" si="30"/>
        <v>0</v>
      </c>
      <c r="AR22" s="608">
        <f t="shared" si="30"/>
        <v>0</v>
      </c>
      <c r="AS22" s="608">
        <f t="shared" si="30"/>
        <v>0</v>
      </c>
      <c r="AT22" s="608">
        <f t="shared" si="30"/>
        <v>0</v>
      </c>
      <c r="AU22" s="608">
        <f t="shared" si="30"/>
        <v>0</v>
      </c>
      <c r="AV22" s="608">
        <f t="shared" si="30"/>
        <v>0</v>
      </c>
      <c r="AW22" s="608">
        <f t="shared" si="30"/>
        <v>0</v>
      </c>
      <c r="AX22" s="608">
        <f t="shared" si="30"/>
        <v>0</v>
      </c>
      <c r="AY22" s="608">
        <f t="shared" si="30"/>
        <v>0</v>
      </c>
      <c r="AZ22" s="608">
        <f t="shared" si="30"/>
        <v>0</v>
      </c>
      <c r="BA22" s="608">
        <f t="shared" si="30"/>
        <v>0</v>
      </c>
      <c r="BB22" s="608">
        <f t="shared" si="30"/>
        <v>0</v>
      </c>
      <c r="BC22" s="608">
        <f t="shared" si="30"/>
        <v>0</v>
      </c>
      <c r="BD22" s="608">
        <f t="shared" si="30"/>
        <v>0</v>
      </c>
      <c r="BE22" s="608">
        <f t="shared" si="30"/>
        <v>0</v>
      </c>
      <c r="BF22" s="608">
        <f t="shared" si="30"/>
        <v>0</v>
      </c>
      <c r="BG22" s="608">
        <f t="shared" si="30"/>
        <v>0</v>
      </c>
      <c r="BH22" s="608">
        <f t="shared" si="30"/>
        <v>0</v>
      </c>
      <c r="BI22" s="585">
        <f>DC22*-1</f>
        <v>0</v>
      </c>
      <c r="BR22" s="301"/>
      <c r="BS22" s="301"/>
      <c r="BT22" s="301"/>
      <c r="BU22" s="392" t="str">
        <f>B22</f>
        <v>Natural Gas in New Construction</v>
      </c>
      <c r="BV22" s="401"/>
      <c r="BW22" s="401"/>
      <c r="BX22" s="401"/>
      <c r="BY22" s="402">
        <f t="shared" ref="BY22:CH22" si="31">BZ22-$DH$22</f>
        <v>0</v>
      </c>
      <c r="BZ22" s="401">
        <f t="shared" si="31"/>
        <v>0</v>
      </c>
      <c r="CA22" s="401">
        <f t="shared" si="31"/>
        <v>0</v>
      </c>
      <c r="CB22" s="401">
        <f t="shared" si="31"/>
        <v>0</v>
      </c>
      <c r="CC22" s="401">
        <f t="shared" si="31"/>
        <v>0</v>
      </c>
      <c r="CD22" s="401">
        <f t="shared" si="31"/>
        <v>0</v>
      </c>
      <c r="CE22" s="401">
        <f t="shared" si="31"/>
        <v>0</v>
      </c>
      <c r="CF22" s="401">
        <f t="shared" si="31"/>
        <v>0</v>
      </c>
      <c r="CG22" s="401">
        <f t="shared" si="31"/>
        <v>0</v>
      </c>
      <c r="CH22" s="401">
        <f t="shared" si="31"/>
        <v>0</v>
      </c>
      <c r="CI22" s="402">
        <f>IF(C22="No",DE22,0)</f>
        <v>0</v>
      </c>
      <c r="CJ22" s="401">
        <f t="shared" ref="CJ22:DB22" si="32">CK22-$DK$22</f>
        <v>0</v>
      </c>
      <c r="CK22" s="401">
        <f t="shared" si="32"/>
        <v>0</v>
      </c>
      <c r="CL22" s="401">
        <f t="shared" si="32"/>
        <v>0</v>
      </c>
      <c r="CM22" s="401">
        <f t="shared" si="32"/>
        <v>0</v>
      </c>
      <c r="CN22" s="401">
        <f t="shared" si="32"/>
        <v>0</v>
      </c>
      <c r="CO22" s="401">
        <f t="shared" si="32"/>
        <v>0</v>
      </c>
      <c r="CP22" s="401">
        <f t="shared" si="32"/>
        <v>0</v>
      </c>
      <c r="CQ22" s="401">
        <f t="shared" si="32"/>
        <v>0</v>
      </c>
      <c r="CR22" s="401">
        <f t="shared" si="32"/>
        <v>0</v>
      </c>
      <c r="CS22" s="401">
        <f t="shared" si="32"/>
        <v>0</v>
      </c>
      <c r="CT22" s="401">
        <f t="shared" si="32"/>
        <v>0</v>
      </c>
      <c r="CU22" s="401">
        <f t="shared" si="32"/>
        <v>0</v>
      </c>
      <c r="CV22" s="401">
        <f t="shared" si="32"/>
        <v>0</v>
      </c>
      <c r="CW22" s="401">
        <f t="shared" si="32"/>
        <v>0</v>
      </c>
      <c r="CX22" s="401">
        <f t="shared" si="32"/>
        <v>0</v>
      </c>
      <c r="CY22" s="401">
        <f t="shared" si="32"/>
        <v>0</v>
      </c>
      <c r="CZ22" s="401">
        <f t="shared" si="32"/>
        <v>0</v>
      </c>
      <c r="DA22" s="401">
        <f t="shared" si="32"/>
        <v>0</v>
      </c>
      <c r="DB22" s="401">
        <f t="shared" si="32"/>
        <v>0</v>
      </c>
      <c r="DC22" s="402">
        <f>DJ22</f>
        <v>0</v>
      </c>
      <c r="DD22" s="401">
        <f>DE22*DG22/(1*100)</f>
        <v>0</v>
      </c>
      <c r="DE22" s="401">
        <f>IF(C22="Yes",0,'Buildings Data'!B86)</f>
        <v>0</v>
      </c>
      <c r="DF22" s="401">
        <f>DE22/($CI$1-$BY$1)</f>
        <v>0</v>
      </c>
      <c r="DG22" s="401">
        <v>100</v>
      </c>
      <c r="DH22" s="401">
        <f>DF22*DG22/(1*100)</f>
        <v>0</v>
      </c>
      <c r="DI22" s="401"/>
      <c r="DJ22" s="401">
        <f>(DL22+DE22)</f>
        <v>0</v>
      </c>
      <c r="DK22" s="401">
        <f>DL22/($DC$1-$CI$1)</f>
        <v>0</v>
      </c>
      <c r="DL22" s="401">
        <f>IF(F22="No",'Buildings Data'!C86,'Buildings Data'!DE86)</f>
        <v>0</v>
      </c>
      <c r="DM22" s="403">
        <v>100</v>
      </c>
      <c r="DN22" s="453">
        <f>DL22*DM22/(1*100)</f>
        <v>0</v>
      </c>
    </row>
    <row r="23" spans="1:118" ht="21" thickBot="1">
      <c r="B23" s="404"/>
      <c r="C23" s="405"/>
      <c r="D23" s="454"/>
      <c r="E23" s="454"/>
      <c r="F23" s="455"/>
      <c r="G23" s="407"/>
      <c r="H23" s="407"/>
      <c r="I23" s="456"/>
      <c r="J23" s="404"/>
      <c r="K23" s="409"/>
      <c r="AB23" s="410"/>
      <c r="AC23" s="410"/>
      <c r="AD23" s="410"/>
      <c r="AE23" s="579"/>
      <c r="AF23" s="602"/>
      <c r="AG23" s="602"/>
      <c r="AH23" s="602"/>
      <c r="AI23" s="602"/>
      <c r="AJ23" s="602"/>
      <c r="AK23" s="602"/>
      <c r="AL23" s="602"/>
      <c r="AM23" s="602"/>
      <c r="AN23" s="602"/>
      <c r="AO23" s="579"/>
      <c r="AP23" s="602"/>
      <c r="AQ23" s="602"/>
      <c r="AR23" s="602"/>
      <c r="AS23" s="602"/>
      <c r="AT23" s="602"/>
      <c r="AU23" s="602"/>
      <c r="AV23" s="602"/>
      <c r="AW23" s="602"/>
      <c r="AX23" s="602"/>
      <c r="AY23" s="602"/>
      <c r="AZ23" s="602"/>
      <c r="BA23" s="602"/>
      <c r="BB23" s="602"/>
      <c r="BC23" s="602"/>
      <c r="BD23" s="602"/>
      <c r="BE23" s="602"/>
      <c r="BF23" s="602"/>
      <c r="BG23" s="602"/>
      <c r="BH23" s="602"/>
      <c r="BI23" s="579"/>
      <c r="BR23" s="301"/>
      <c r="BS23" s="301"/>
      <c r="BT23" s="301"/>
      <c r="BU23" s="392"/>
      <c r="BV23" s="411"/>
      <c r="BW23" s="411"/>
      <c r="BX23" s="411"/>
      <c r="BY23" s="412"/>
      <c r="BZ23" s="411"/>
      <c r="CA23" s="411"/>
      <c r="CB23" s="411"/>
      <c r="CC23" s="411"/>
      <c r="CD23" s="411"/>
      <c r="CE23" s="411"/>
      <c r="CF23" s="411"/>
      <c r="CG23" s="411"/>
      <c r="CH23" s="411"/>
      <c r="CI23" s="412"/>
      <c r="CJ23" s="411"/>
      <c r="CK23" s="411"/>
      <c r="CL23" s="411"/>
      <c r="CM23" s="411"/>
      <c r="CN23" s="411"/>
      <c r="CO23" s="411"/>
      <c r="CP23" s="411"/>
      <c r="CQ23" s="411"/>
      <c r="CR23" s="411"/>
      <c r="CS23" s="411"/>
      <c r="CT23" s="411"/>
      <c r="CU23" s="411"/>
      <c r="CV23" s="411"/>
      <c r="CW23" s="411"/>
      <c r="CX23" s="411"/>
      <c r="CY23" s="411"/>
      <c r="CZ23" s="411"/>
      <c r="DA23" s="411"/>
      <c r="DB23" s="411"/>
      <c r="DC23" s="412"/>
      <c r="DD23" s="411"/>
      <c r="DE23" s="411"/>
      <c r="DF23" s="411"/>
      <c r="DG23" s="411"/>
      <c r="DH23" s="411"/>
      <c r="DI23" s="411"/>
      <c r="DJ23" s="411"/>
      <c r="DK23" s="411"/>
      <c r="DL23" s="411"/>
      <c r="DM23" s="413"/>
      <c r="DN23" s="410"/>
    </row>
    <row r="24" spans="1:118" ht="21" thickBot="1">
      <c r="A24" s="297"/>
      <c r="B24" s="640" t="s">
        <v>490</v>
      </c>
      <c r="C24" s="415">
        <v>0</v>
      </c>
      <c r="D24" s="641">
        <v>0</v>
      </c>
      <c r="E24" s="641">
        <v>1</v>
      </c>
      <c r="F24" s="415">
        <v>1</v>
      </c>
      <c r="G24" s="641">
        <v>0</v>
      </c>
      <c r="H24" s="641">
        <v>1</v>
      </c>
      <c r="I24" s="641">
        <f>C24+F24</f>
        <v>1</v>
      </c>
      <c r="J24" s="642" t="s">
        <v>453</v>
      </c>
      <c r="K24" s="399"/>
      <c r="V24" s="297"/>
      <c r="W24" s="399"/>
      <c r="AA24" s="298" t="str">
        <f>BU24</f>
        <v>Industrial Innovation</v>
      </c>
      <c r="AB24" s="446"/>
      <c r="AC24" s="446"/>
      <c r="AD24" s="446"/>
      <c r="AE24" s="643">
        <f t="shared" ref="AE24:BI24" si="33">BY24*-1</f>
        <v>0</v>
      </c>
      <c r="AF24" s="644">
        <f t="shared" si="33"/>
        <v>0</v>
      </c>
      <c r="AG24" s="644">
        <f t="shared" si="33"/>
        <v>0</v>
      </c>
      <c r="AH24" s="644">
        <f t="shared" si="33"/>
        <v>0</v>
      </c>
      <c r="AI24" s="644">
        <f t="shared" si="33"/>
        <v>0</v>
      </c>
      <c r="AJ24" s="644">
        <f t="shared" si="33"/>
        <v>0</v>
      </c>
      <c r="AK24" s="644">
        <f t="shared" si="33"/>
        <v>0</v>
      </c>
      <c r="AL24" s="644">
        <f t="shared" si="33"/>
        <v>0</v>
      </c>
      <c r="AM24" s="644">
        <f t="shared" si="33"/>
        <v>0</v>
      </c>
      <c r="AN24" s="644">
        <f t="shared" si="33"/>
        <v>0</v>
      </c>
      <c r="AO24" s="643">
        <f t="shared" si="33"/>
        <v>0</v>
      </c>
      <c r="AP24" s="644">
        <f t="shared" si="33"/>
        <v>-34669.579173391998</v>
      </c>
      <c r="AQ24" s="644">
        <f t="shared" si="33"/>
        <v>-69339.158346784243</v>
      </c>
      <c r="AR24" s="644">
        <f t="shared" si="33"/>
        <v>-104008.73752017648</v>
      </c>
      <c r="AS24" s="644">
        <f t="shared" si="33"/>
        <v>-138678.31669356872</v>
      </c>
      <c r="AT24" s="644">
        <f t="shared" si="33"/>
        <v>-173347.89586696096</v>
      </c>
      <c r="AU24" s="644">
        <f t="shared" si="33"/>
        <v>-208017.47504035319</v>
      </c>
      <c r="AV24" s="644">
        <f t="shared" si="33"/>
        <v>-242687.05421374543</v>
      </c>
      <c r="AW24" s="644">
        <f t="shared" si="33"/>
        <v>-277356.63338713767</v>
      </c>
      <c r="AX24" s="644">
        <f t="shared" si="33"/>
        <v>-312026.21256052994</v>
      </c>
      <c r="AY24" s="644">
        <f t="shared" si="33"/>
        <v>-346695.7917339222</v>
      </c>
      <c r="AZ24" s="644">
        <f t="shared" si="33"/>
        <v>-381365.37090731447</v>
      </c>
      <c r="BA24" s="644">
        <f t="shared" si="33"/>
        <v>-416034.95008070674</v>
      </c>
      <c r="BB24" s="644">
        <f t="shared" si="33"/>
        <v>-450704.529254099</v>
      </c>
      <c r="BC24" s="644">
        <f t="shared" si="33"/>
        <v>-485374.10842749127</v>
      </c>
      <c r="BD24" s="644">
        <f t="shared" si="33"/>
        <v>-520043.68760088354</v>
      </c>
      <c r="BE24" s="644">
        <f t="shared" si="33"/>
        <v>-554713.26677427581</v>
      </c>
      <c r="BF24" s="644">
        <f t="shared" si="33"/>
        <v>-589382.84594766807</v>
      </c>
      <c r="BG24" s="644">
        <f t="shared" si="33"/>
        <v>-624052.42512106034</v>
      </c>
      <c r="BH24" s="644">
        <f t="shared" si="33"/>
        <v>-658722.00429445261</v>
      </c>
      <c r="BI24" s="643">
        <f t="shared" si="33"/>
        <v>-693391.58346784487</v>
      </c>
      <c r="BR24" s="301"/>
      <c r="BS24" s="301"/>
      <c r="BT24" s="301"/>
      <c r="BU24" s="392" t="str">
        <f>B24</f>
        <v>Industrial Innovation</v>
      </c>
      <c r="BV24" s="401"/>
      <c r="BW24" s="401"/>
      <c r="BX24" s="401"/>
      <c r="BY24" s="402">
        <f t="shared" ref="BY24:CH24" si="34">BZ24-$DH$24</f>
        <v>0</v>
      </c>
      <c r="BZ24" s="401">
        <f t="shared" si="34"/>
        <v>0</v>
      </c>
      <c r="CA24" s="401">
        <f t="shared" si="34"/>
        <v>0</v>
      </c>
      <c r="CB24" s="401">
        <f t="shared" si="34"/>
        <v>0</v>
      </c>
      <c r="CC24" s="401">
        <f t="shared" si="34"/>
        <v>0</v>
      </c>
      <c r="CD24" s="401">
        <f t="shared" si="34"/>
        <v>0</v>
      </c>
      <c r="CE24" s="401">
        <f t="shared" si="34"/>
        <v>0</v>
      </c>
      <c r="CF24" s="401">
        <f t="shared" si="34"/>
        <v>0</v>
      </c>
      <c r="CG24" s="401">
        <f t="shared" si="34"/>
        <v>0</v>
      </c>
      <c r="CH24" s="401">
        <f t="shared" si="34"/>
        <v>0</v>
      </c>
      <c r="CI24" s="402">
        <f>DD24</f>
        <v>0</v>
      </c>
      <c r="CJ24" s="401">
        <f t="shared" ref="CJ24:DB24" si="35">CK24-$DK$24</f>
        <v>34669.579173391998</v>
      </c>
      <c r="CK24" s="401">
        <f t="shared" si="35"/>
        <v>69339.158346784243</v>
      </c>
      <c r="CL24" s="401">
        <f t="shared" si="35"/>
        <v>104008.73752017648</v>
      </c>
      <c r="CM24" s="401">
        <f t="shared" si="35"/>
        <v>138678.31669356872</v>
      </c>
      <c r="CN24" s="401">
        <f t="shared" si="35"/>
        <v>173347.89586696096</v>
      </c>
      <c r="CO24" s="401">
        <f t="shared" si="35"/>
        <v>208017.47504035319</v>
      </c>
      <c r="CP24" s="401">
        <f t="shared" si="35"/>
        <v>242687.05421374543</v>
      </c>
      <c r="CQ24" s="401">
        <f t="shared" si="35"/>
        <v>277356.63338713767</v>
      </c>
      <c r="CR24" s="401">
        <f t="shared" si="35"/>
        <v>312026.21256052994</v>
      </c>
      <c r="CS24" s="401">
        <f t="shared" si="35"/>
        <v>346695.7917339222</v>
      </c>
      <c r="CT24" s="401">
        <f t="shared" si="35"/>
        <v>381365.37090731447</v>
      </c>
      <c r="CU24" s="401">
        <f t="shared" si="35"/>
        <v>416034.95008070674</v>
      </c>
      <c r="CV24" s="401">
        <f t="shared" si="35"/>
        <v>450704.529254099</v>
      </c>
      <c r="CW24" s="401">
        <f t="shared" si="35"/>
        <v>485374.10842749127</v>
      </c>
      <c r="CX24" s="401">
        <f t="shared" si="35"/>
        <v>520043.68760088354</v>
      </c>
      <c r="CY24" s="401">
        <f t="shared" si="35"/>
        <v>554713.26677427581</v>
      </c>
      <c r="CZ24" s="401">
        <f t="shared" si="35"/>
        <v>589382.84594766807</v>
      </c>
      <c r="DA24" s="401">
        <f t="shared" si="35"/>
        <v>624052.42512106034</v>
      </c>
      <c r="DB24" s="401">
        <f t="shared" si="35"/>
        <v>658722.00429445261</v>
      </c>
      <c r="DC24" s="402">
        <f>DN24</f>
        <v>693391.58346784487</v>
      </c>
      <c r="DD24" s="401">
        <f>DE24*DG24/(E24*100)</f>
        <v>0</v>
      </c>
      <c r="DE24" s="401">
        <f>'Buildings Data'!D92</f>
        <v>693391.58346784487</v>
      </c>
      <c r="DF24" s="401">
        <f>DE24/($CI$1-$BY$1)</f>
        <v>69339.15834678449</v>
      </c>
      <c r="DG24" s="401">
        <f>C24*100</f>
        <v>0</v>
      </c>
      <c r="DH24" s="401">
        <f>DF24*DG24/(E24*100)</f>
        <v>0</v>
      </c>
      <c r="DI24" s="401"/>
      <c r="DJ24" s="401">
        <f>(DL24*I24)/(H24)</f>
        <v>693391.58346784487</v>
      </c>
      <c r="DK24" s="401">
        <f>(DC24-CI24)/($DC$1-$CI$1)</f>
        <v>34669.579173392245</v>
      </c>
      <c r="DL24" s="401">
        <f>'Buildings Data'!D92</f>
        <v>693391.58346784487</v>
      </c>
      <c r="DM24" s="403">
        <f>(I24)*100</f>
        <v>100</v>
      </c>
      <c r="DN24" s="644">
        <f>DL24*DM24/(H24*100)</f>
        <v>693391.58346784487</v>
      </c>
    </row>
    <row r="25" spans="1:118" ht="20.25">
      <c r="B25" s="433"/>
      <c r="C25" s="333"/>
      <c r="D25" s="435"/>
      <c r="E25" s="435"/>
      <c r="F25" s="333"/>
      <c r="G25" s="447"/>
      <c r="H25" s="447"/>
      <c r="I25" s="448"/>
      <c r="J25" s="404"/>
      <c r="K25" s="409"/>
      <c r="AB25" s="428"/>
      <c r="AC25" s="428"/>
      <c r="AD25" s="428"/>
      <c r="AE25" s="581"/>
      <c r="AF25" s="604"/>
      <c r="AG25" s="604"/>
      <c r="AH25" s="604"/>
      <c r="AI25" s="604"/>
      <c r="AJ25" s="604"/>
      <c r="AK25" s="604"/>
      <c r="AL25" s="604"/>
      <c r="AM25" s="604"/>
      <c r="AN25" s="604"/>
      <c r="AO25" s="581"/>
      <c r="AP25" s="604"/>
      <c r="AQ25" s="604"/>
      <c r="AR25" s="604"/>
      <c r="AS25" s="604"/>
      <c r="AT25" s="604"/>
      <c r="AU25" s="604"/>
      <c r="AV25" s="604"/>
      <c r="AW25" s="604"/>
      <c r="AX25" s="604"/>
      <c r="AY25" s="604"/>
      <c r="AZ25" s="604"/>
      <c r="BA25" s="604"/>
      <c r="BB25" s="604"/>
      <c r="BC25" s="604"/>
      <c r="BD25" s="604"/>
      <c r="BE25" s="604"/>
      <c r="BF25" s="604"/>
      <c r="BG25" s="604"/>
      <c r="BH25" s="604"/>
      <c r="BI25" s="581"/>
      <c r="BR25" s="301"/>
      <c r="BS25" s="301"/>
      <c r="BT25" s="301"/>
      <c r="BU25" s="392"/>
      <c r="BV25" s="429"/>
      <c r="BW25" s="429"/>
      <c r="BX25" s="429"/>
      <c r="BY25" s="430"/>
      <c r="BZ25" s="429"/>
      <c r="CA25" s="429"/>
      <c r="CB25" s="429"/>
      <c r="CC25" s="429"/>
      <c r="CD25" s="429"/>
      <c r="CE25" s="429"/>
      <c r="CF25" s="429"/>
      <c r="CG25" s="429"/>
      <c r="CH25" s="429"/>
      <c r="CI25" s="430"/>
      <c r="CJ25" s="429"/>
      <c r="CK25" s="429"/>
      <c r="CL25" s="429"/>
      <c r="CM25" s="429"/>
      <c r="CN25" s="429"/>
      <c r="CO25" s="429"/>
      <c r="CP25" s="429"/>
      <c r="CQ25" s="429"/>
      <c r="CR25" s="429"/>
      <c r="CS25" s="429"/>
      <c r="CT25" s="429"/>
      <c r="CU25" s="429"/>
      <c r="CV25" s="429"/>
      <c r="CW25" s="429"/>
      <c r="CX25" s="429"/>
      <c r="CY25" s="429"/>
      <c r="CZ25" s="429"/>
      <c r="DA25" s="429"/>
      <c r="DB25" s="429"/>
      <c r="DC25" s="430"/>
      <c r="DD25" s="429"/>
      <c r="DE25" s="429"/>
      <c r="DF25" s="429"/>
      <c r="DG25" s="429"/>
      <c r="DH25" s="429"/>
      <c r="DI25" s="429"/>
      <c r="DJ25" s="429"/>
      <c r="DK25" s="429"/>
      <c r="DL25" s="429"/>
      <c r="DM25" s="432"/>
      <c r="DN25" s="428"/>
    </row>
    <row r="26" spans="1:118" ht="20.25">
      <c r="B26" s="457" t="s">
        <v>568</v>
      </c>
      <c r="C26" s="283">
        <f>'Transport Data'!AK66</f>
        <v>0.22580852909818586</v>
      </c>
      <c r="D26" s="283">
        <v>0.23</v>
      </c>
      <c r="E26" s="283">
        <v>0.17</v>
      </c>
      <c r="F26" s="283">
        <f>I26-C26</f>
        <v>6.3378034552163426E-2</v>
      </c>
      <c r="G26" s="283">
        <v>0.17</v>
      </c>
      <c r="H26" s="283">
        <v>0.28999999999999998</v>
      </c>
      <c r="I26" s="376">
        <f>'Transport Data'!AL66</f>
        <v>0.28918656365034928</v>
      </c>
      <c r="J26" s="457" t="s">
        <v>579</v>
      </c>
      <c r="K26" s="399"/>
      <c r="W26" s="399"/>
      <c r="AA26" s="298" t="s">
        <v>581</v>
      </c>
      <c r="AB26" s="458"/>
      <c r="AC26" s="458"/>
      <c r="AD26" s="458"/>
      <c r="AE26" s="586">
        <f>BY26*-1</f>
        <v>0</v>
      </c>
      <c r="AF26" s="609">
        <f t="shared" ref="AF26:BI26" si="36">BZ26*-1</f>
        <v>-72619.683815132244</v>
      </c>
      <c r="AG26" s="609">
        <f t="shared" si="36"/>
        <v>-145239.36763026449</v>
      </c>
      <c r="AH26" s="609">
        <f t="shared" si="36"/>
        <v>-217859.05144539673</v>
      </c>
      <c r="AI26" s="609">
        <f t="shared" si="36"/>
        <v>-290478.73526052898</v>
      </c>
      <c r="AJ26" s="609">
        <f t="shared" si="36"/>
        <v>-363098.41907566122</v>
      </c>
      <c r="AK26" s="609">
        <f t="shared" si="36"/>
        <v>-435718.10289079347</v>
      </c>
      <c r="AL26" s="609">
        <f t="shared" si="36"/>
        <v>-508337.78670592571</v>
      </c>
      <c r="AM26" s="609">
        <f t="shared" si="36"/>
        <v>-580957.47052105796</v>
      </c>
      <c r="AN26" s="609">
        <f t="shared" si="36"/>
        <v>-653577.1543361902</v>
      </c>
      <c r="AO26" s="586">
        <f t="shared" si="36"/>
        <v>-726196.83815132244</v>
      </c>
      <c r="AP26" s="609">
        <f t="shared" si="36"/>
        <v>-736387.97851343313</v>
      </c>
      <c r="AQ26" s="609">
        <f t="shared" si="36"/>
        <v>-746579.11887554359</v>
      </c>
      <c r="AR26" s="609">
        <f t="shared" si="36"/>
        <v>-756770.25923765404</v>
      </c>
      <c r="AS26" s="609">
        <f t="shared" si="36"/>
        <v>-766961.3995997645</v>
      </c>
      <c r="AT26" s="609">
        <f t="shared" si="36"/>
        <v>-777152.53996187495</v>
      </c>
      <c r="AU26" s="609">
        <f t="shared" si="36"/>
        <v>-787343.68032398541</v>
      </c>
      <c r="AV26" s="609">
        <f t="shared" si="36"/>
        <v>-797534.82068609586</v>
      </c>
      <c r="AW26" s="609">
        <f t="shared" si="36"/>
        <v>-807725.96104820631</v>
      </c>
      <c r="AX26" s="609">
        <f t="shared" si="36"/>
        <v>-817917.10141031677</v>
      </c>
      <c r="AY26" s="609">
        <f t="shared" si="36"/>
        <v>-828108.24177242722</v>
      </c>
      <c r="AZ26" s="609">
        <f t="shared" si="36"/>
        <v>-838299.38213453768</v>
      </c>
      <c r="BA26" s="609">
        <f t="shared" si="36"/>
        <v>-848490.52249664813</v>
      </c>
      <c r="BB26" s="609">
        <f t="shared" si="36"/>
        <v>-858681.66285875859</v>
      </c>
      <c r="BC26" s="609">
        <f t="shared" si="36"/>
        <v>-868872.80322086904</v>
      </c>
      <c r="BD26" s="609">
        <f t="shared" si="36"/>
        <v>-879063.9435829795</v>
      </c>
      <c r="BE26" s="609">
        <f t="shared" si="36"/>
        <v>-889255.08394508995</v>
      </c>
      <c r="BF26" s="609">
        <f t="shared" si="36"/>
        <v>-899446.22430720041</v>
      </c>
      <c r="BG26" s="609">
        <f t="shared" si="36"/>
        <v>-909637.36466931086</v>
      </c>
      <c r="BH26" s="609">
        <f t="shared" si="36"/>
        <v>-919828.50503142131</v>
      </c>
      <c r="BI26" s="586">
        <f t="shared" si="36"/>
        <v>-930019.64539353177</v>
      </c>
      <c r="BR26" s="301"/>
      <c r="BS26" s="301"/>
      <c r="BT26" s="301"/>
      <c r="BU26" s="392" t="str">
        <f>B26</f>
        <v>Transportation Baseline Reductions from Adopted Plans/Policies</v>
      </c>
      <c r="BV26" s="401"/>
      <c r="BW26" s="401"/>
      <c r="BX26" s="401"/>
      <c r="BY26" s="402">
        <f>BZ26-$DH$26</f>
        <v>0</v>
      </c>
      <c r="BZ26" s="401">
        <f t="shared" ref="BZ26:CG26" si="37">CA26-$DH$26</f>
        <v>72619.683815132244</v>
      </c>
      <c r="CA26" s="401">
        <f t="shared" si="37"/>
        <v>145239.36763026449</v>
      </c>
      <c r="CB26" s="401">
        <f t="shared" si="37"/>
        <v>217859.05144539673</v>
      </c>
      <c r="CC26" s="401">
        <f t="shared" si="37"/>
        <v>290478.73526052898</v>
      </c>
      <c r="CD26" s="401">
        <f t="shared" si="37"/>
        <v>363098.41907566122</v>
      </c>
      <c r="CE26" s="401">
        <f t="shared" si="37"/>
        <v>435718.10289079347</v>
      </c>
      <c r="CF26" s="401">
        <f t="shared" si="37"/>
        <v>508337.78670592571</v>
      </c>
      <c r="CG26" s="401">
        <f t="shared" si="37"/>
        <v>580957.47052105796</v>
      </c>
      <c r="CH26" s="401">
        <f>CI26-$DH$26</f>
        <v>653577.1543361902</v>
      </c>
      <c r="CI26" s="402">
        <f>DD26</f>
        <v>726196.83815132244</v>
      </c>
      <c r="CJ26" s="401">
        <f t="shared" ref="CJ26:DA26" si="38">CK26-$DK$26</f>
        <v>736387.97851343313</v>
      </c>
      <c r="CK26" s="401">
        <f t="shared" si="38"/>
        <v>746579.11887554359</v>
      </c>
      <c r="CL26" s="401">
        <f t="shared" si="38"/>
        <v>756770.25923765404</v>
      </c>
      <c r="CM26" s="401">
        <f t="shared" si="38"/>
        <v>766961.3995997645</v>
      </c>
      <c r="CN26" s="401">
        <f t="shared" si="38"/>
        <v>777152.53996187495</v>
      </c>
      <c r="CO26" s="401">
        <f t="shared" si="38"/>
        <v>787343.68032398541</v>
      </c>
      <c r="CP26" s="401">
        <f t="shared" si="38"/>
        <v>797534.82068609586</v>
      </c>
      <c r="CQ26" s="401">
        <f t="shared" si="38"/>
        <v>807725.96104820631</v>
      </c>
      <c r="CR26" s="401">
        <f t="shared" si="38"/>
        <v>817917.10141031677</v>
      </c>
      <c r="CS26" s="401">
        <f t="shared" si="38"/>
        <v>828108.24177242722</v>
      </c>
      <c r="CT26" s="401">
        <f t="shared" si="38"/>
        <v>838299.38213453768</v>
      </c>
      <c r="CU26" s="401">
        <f t="shared" si="38"/>
        <v>848490.52249664813</v>
      </c>
      <c r="CV26" s="401">
        <f t="shared" si="38"/>
        <v>858681.66285875859</v>
      </c>
      <c r="CW26" s="401">
        <f t="shared" si="38"/>
        <v>868872.80322086904</v>
      </c>
      <c r="CX26" s="401">
        <f t="shared" si="38"/>
        <v>879063.9435829795</v>
      </c>
      <c r="CY26" s="401">
        <f t="shared" si="38"/>
        <v>889255.08394508995</v>
      </c>
      <c r="CZ26" s="401">
        <f t="shared" si="38"/>
        <v>899446.22430720041</v>
      </c>
      <c r="DA26" s="401">
        <f t="shared" si="38"/>
        <v>909637.36466931086</v>
      </c>
      <c r="DB26" s="401">
        <f>DC26-$DK$26</f>
        <v>919828.50503142131</v>
      </c>
      <c r="DC26" s="402">
        <f>DN26</f>
        <v>930019.64539353177</v>
      </c>
      <c r="DD26" s="401">
        <f>DE26</f>
        <v>726196.83815132244</v>
      </c>
      <c r="DE26" s="401">
        <f>'Transport Data'!D37</f>
        <v>726196.83815132244</v>
      </c>
      <c r="DF26" s="401">
        <f>DD26/($CI$1-$BY$1)</f>
        <v>72619.683815132244</v>
      </c>
      <c r="DG26" s="401">
        <f>E26*100</f>
        <v>17</v>
      </c>
      <c r="DH26" s="401">
        <f>DF26*DG26/(E26*100)</f>
        <v>72619.683815132244</v>
      </c>
      <c r="DI26" s="401"/>
      <c r="DJ26" s="401">
        <f>DN26-DD26</f>
        <v>203822.80724220932</v>
      </c>
      <c r="DK26" s="401">
        <f>(DC26-CI26)/($DC$1-$CI$1)</f>
        <v>10191.140362110466</v>
      </c>
      <c r="DL26" s="401">
        <f>'Transport Data'!F37</f>
        <v>930019.64539353177</v>
      </c>
      <c r="DM26" s="403">
        <f>H26*100</f>
        <v>28.999999999999996</v>
      </c>
      <c r="DN26" s="458">
        <f>DL26*DM26/(H26*100)</f>
        <v>930019.64539353177</v>
      </c>
    </row>
    <row r="27" spans="1:118" ht="24" customHeight="1" thickBot="1">
      <c r="B27" s="404"/>
      <c r="C27" s="455"/>
      <c r="D27" s="454"/>
      <c r="E27" s="454"/>
      <c r="F27" s="455"/>
      <c r="G27" s="407"/>
      <c r="H27" s="407"/>
      <c r="I27" s="456"/>
      <c r="J27" s="404"/>
      <c r="AB27" s="459"/>
      <c r="AC27" s="459"/>
      <c r="AD27" s="459"/>
      <c r="AE27" s="581"/>
      <c r="AF27" s="604"/>
      <c r="AG27" s="604"/>
      <c r="AH27" s="604"/>
      <c r="AI27" s="604"/>
      <c r="AJ27" s="604"/>
      <c r="AK27" s="604"/>
      <c r="AL27" s="604"/>
      <c r="AM27" s="604"/>
      <c r="AN27" s="604"/>
      <c r="AO27" s="581"/>
      <c r="AP27" s="604"/>
      <c r="AQ27" s="604"/>
      <c r="AR27" s="604"/>
      <c r="AS27" s="604"/>
      <c r="AT27" s="604"/>
      <c r="AU27" s="604"/>
      <c r="AV27" s="604"/>
      <c r="AW27" s="604"/>
      <c r="AX27" s="604"/>
      <c r="AY27" s="604"/>
      <c r="AZ27" s="604"/>
      <c r="BA27" s="604"/>
      <c r="BB27" s="604"/>
      <c r="BC27" s="604"/>
      <c r="BD27" s="604"/>
      <c r="BE27" s="604"/>
      <c r="BF27" s="604"/>
      <c r="BG27" s="604"/>
      <c r="BH27" s="604"/>
      <c r="BI27" s="581"/>
      <c r="BR27" s="301"/>
      <c r="BS27" s="301"/>
      <c r="BT27" s="301"/>
      <c r="BU27" s="392"/>
      <c r="BV27" s="460"/>
      <c r="BW27" s="460"/>
      <c r="BX27" s="460"/>
      <c r="BY27" s="461"/>
      <c r="BZ27" s="460"/>
      <c r="CA27" s="460"/>
      <c r="CB27" s="460"/>
      <c r="CC27" s="460"/>
      <c r="CD27" s="460"/>
      <c r="CE27" s="460"/>
      <c r="CF27" s="460"/>
      <c r="CG27" s="460"/>
      <c r="CH27" s="460"/>
      <c r="CI27" s="461"/>
      <c r="CJ27" s="460"/>
      <c r="CK27" s="460"/>
      <c r="CL27" s="460"/>
      <c r="CM27" s="460"/>
      <c r="CN27" s="460"/>
      <c r="CO27" s="460"/>
      <c r="CP27" s="460"/>
      <c r="CQ27" s="460"/>
      <c r="CR27" s="460"/>
      <c r="CS27" s="460"/>
      <c r="CT27" s="460"/>
      <c r="CU27" s="460"/>
      <c r="CV27" s="460"/>
      <c r="CW27" s="460"/>
      <c r="CX27" s="460"/>
      <c r="CY27" s="460"/>
      <c r="CZ27" s="460"/>
      <c r="DA27" s="460"/>
      <c r="DB27" s="460"/>
      <c r="DC27" s="461"/>
      <c r="DD27" s="460"/>
      <c r="DE27" s="460"/>
      <c r="DF27" s="460"/>
      <c r="DG27" s="460"/>
      <c r="DH27" s="460"/>
      <c r="DI27" s="460"/>
      <c r="DJ27" s="460"/>
      <c r="DK27" s="460"/>
      <c r="DL27" s="460"/>
      <c r="DM27" s="462"/>
      <c r="DN27" s="459"/>
    </row>
    <row r="28" spans="1:118" ht="21" thickBot="1">
      <c r="B28" s="732" t="s">
        <v>512</v>
      </c>
      <c r="C28" s="464">
        <f>'Transport Data'!AJ76</f>
        <v>0.40707536352466311</v>
      </c>
      <c r="D28" s="464"/>
      <c r="E28" s="464"/>
      <c r="F28" s="464">
        <f>I28-C28</f>
        <v>0.18410373295012761</v>
      </c>
      <c r="G28" s="447"/>
      <c r="H28" s="447"/>
      <c r="I28" s="464">
        <f>'Transport Data'!AK76</f>
        <v>0.59117909647479072</v>
      </c>
      <c r="J28" s="463" t="s">
        <v>580</v>
      </c>
      <c r="AA28" s="298" t="s">
        <v>565</v>
      </c>
      <c r="AB28" s="465"/>
      <c r="AC28" s="465"/>
      <c r="AD28" s="465"/>
      <c r="AE28" s="587">
        <f>BY28*-1</f>
        <v>5.8207660913467407E-11</v>
      </c>
      <c r="AF28" s="610">
        <f t="shared" ref="AF28:BI28" si="39">BZ28*-1</f>
        <v>-58295.141706082039</v>
      </c>
      <c r="AG28" s="610">
        <f t="shared" si="39"/>
        <v>-116590.28341216414</v>
      </c>
      <c r="AH28" s="610">
        <f t="shared" si="39"/>
        <v>-174885.42511824623</v>
      </c>
      <c r="AI28" s="610">
        <f t="shared" si="39"/>
        <v>-233180.56682432833</v>
      </c>
      <c r="AJ28" s="610">
        <f t="shared" si="39"/>
        <v>-291475.70853041043</v>
      </c>
      <c r="AK28" s="610">
        <f t="shared" si="39"/>
        <v>-349770.85023649252</v>
      </c>
      <c r="AL28" s="610">
        <f t="shared" si="39"/>
        <v>-408065.99194257462</v>
      </c>
      <c r="AM28" s="610">
        <f t="shared" si="39"/>
        <v>-466361.13364865672</v>
      </c>
      <c r="AN28" s="610">
        <f t="shared" si="39"/>
        <v>-524656.27535473881</v>
      </c>
      <c r="AO28" s="587">
        <f t="shared" si="39"/>
        <v>-582951.41706082097</v>
      </c>
      <c r="AP28" s="610">
        <f t="shared" si="39"/>
        <v>-602364.01870397944</v>
      </c>
      <c r="AQ28" s="610">
        <f t="shared" si="39"/>
        <v>-621776.62034713768</v>
      </c>
      <c r="AR28" s="610">
        <f t="shared" si="39"/>
        <v>-641189.22199029592</v>
      </c>
      <c r="AS28" s="610">
        <f t="shared" si="39"/>
        <v>-660601.82363345416</v>
      </c>
      <c r="AT28" s="610">
        <f t="shared" si="39"/>
        <v>-680014.4252766124</v>
      </c>
      <c r="AU28" s="610">
        <f t="shared" si="39"/>
        <v>-699427.02691977064</v>
      </c>
      <c r="AV28" s="610">
        <f t="shared" si="39"/>
        <v>-718839.62856292888</v>
      </c>
      <c r="AW28" s="610">
        <f t="shared" si="39"/>
        <v>-738252.23020608712</v>
      </c>
      <c r="AX28" s="610">
        <f t="shared" si="39"/>
        <v>-757664.83184924535</v>
      </c>
      <c r="AY28" s="610">
        <f t="shared" si="39"/>
        <v>-777077.43349240359</v>
      </c>
      <c r="AZ28" s="610">
        <f t="shared" si="39"/>
        <v>-796490.03513556183</v>
      </c>
      <c r="BA28" s="610">
        <f t="shared" si="39"/>
        <v>-815902.63677872007</v>
      </c>
      <c r="BB28" s="610">
        <f t="shared" si="39"/>
        <v>-835315.23842187831</v>
      </c>
      <c r="BC28" s="610">
        <f t="shared" si="39"/>
        <v>-854727.84006503655</v>
      </c>
      <c r="BD28" s="610">
        <f t="shared" si="39"/>
        <v>-874140.44170819479</v>
      </c>
      <c r="BE28" s="610">
        <f t="shared" si="39"/>
        <v>-893553.04335135303</v>
      </c>
      <c r="BF28" s="610">
        <f t="shared" si="39"/>
        <v>-912965.64499451127</v>
      </c>
      <c r="BG28" s="610">
        <f t="shared" si="39"/>
        <v>-932378.24663766951</v>
      </c>
      <c r="BH28" s="610">
        <f t="shared" si="39"/>
        <v>-951790.84828082775</v>
      </c>
      <c r="BI28" s="587">
        <f t="shared" si="39"/>
        <v>-971203.44992398599</v>
      </c>
      <c r="BU28" s="392" t="str">
        <f>AA28</f>
        <v>Transportation Policy Scenario</v>
      </c>
      <c r="BY28" s="402">
        <f>BZ28-$DH$28</f>
        <v>-5.8207660913467407E-11</v>
      </c>
      <c r="BZ28" s="401">
        <f t="shared" ref="BZ28:CG28" si="40">CA28-$DH$28</f>
        <v>58295.141706082039</v>
      </c>
      <c r="CA28" s="401">
        <f t="shared" si="40"/>
        <v>116590.28341216414</v>
      </c>
      <c r="CB28" s="401">
        <f t="shared" si="40"/>
        <v>174885.42511824623</v>
      </c>
      <c r="CC28" s="401">
        <f t="shared" si="40"/>
        <v>233180.56682432833</v>
      </c>
      <c r="CD28" s="401">
        <f t="shared" si="40"/>
        <v>291475.70853041043</v>
      </c>
      <c r="CE28" s="401">
        <f t="shared" si="40"/>
        <v>349770.85023649252</v>
      </c>
      <c r="CF28" s="401">
        <f t="shared" si="40"/>
        <v>408065.99194257462</v>
      </c>
      <c r="CG28" s="401">
        <f t="shared" si="40"/>
        <v>466361.13364865672</v>
      </c>
      <c r="CH28" s="401">
        <f>CI28-$DH$28</f>
        <v>524656.27535473881</v>
      </c>
      <c r="CI28" s="402">
        <f>DD28</f>
        <v>582951.41706082097</v>
      </c>
      <c r="CJ28" s="401">
        <f t="shared" ref="CJ28:DA28" si="41">CK28-$DK$28</f>
        <v>602364.01870397944</v>
      </c>
      <c r="CK28" s="401">
        <f t="shared" si="41"/>
        <v>621776.62034713768</v>
      </c>
      <c r="CL28" s="401">
        <f t="shared" si="41"/>
        <v>641189.22199029592</v>
      </c>
      <c r="CM28" s="401">
        <f t="shared" si="41"/>
        <v>660601.82363345416</v>
      </c>
      <c r="CN28" s="401">
        <f t="shared" si="41"/>
        <v>680014.4252766124</v>
      </c>
      <c r="CO28" s="401">
        <f t="shared" si="41"/>
        <v>699427.02691977064</v>
      </c>
      <c r="CP28" s="401">
        <f t="shared" si="41"/>
        <v>718839.62856292888</v>
      </c>
      <c r="CQ28" s="401">
        <f t="shared" si="41"/>
        <v>738252.23020608712</v>
      </c>
      <c r="CR28" s="401">
        <f t="shared" si="41"/>
        <v>757664.83184924535</v>
      </c>
      <c r="CS28" s="401">
        <f t="shared" si="41"/>
        <v>777077.43349240359</v>
      </c>
      <c r="CT28" s="401">
        <f t="shared" si="41"/>
        <v>796490.03513556183</v>
      </c>
      <c r="CU28" s="401">
        <f t="shared" si="41"/>
        <v>815902.63677872007</v>
      </c>
      <c r="CV28" s="401">
        <f t="shared" si="41"/>
        <v>835315.23842187831</v>
      </c>
      <c r="CW28" s="401">
        <f t="shared" si="41"/>
        <v>854727.84006503655</v>
      </c>
      <c r="CX28" s="401">
        <f t="shared" si="41"/>
        <v>874140.44170819479</v>
      </c>
      <c r="CY28" s="401">
        <f t="shared" si="41"/>
        <v>893553.04335135303</v>
      </c>
      <c r="CZ28" s="401">
        <f t="shared" si="41"/>
        <v>912965.64499451127</v>
      </c>
      <c r="DA28" s="401">
        <f t="shared" si="41"/>
        <v>932378.24663766951</v>
      </c>
      <c r="DB28" s="401">
        <f>DC28-$DK$28</f>
        <v>951790.84828082775</v>
      </c>
      <c r="DC28" s="402">
        <f>DJ28</f>
        <v>971203.44992398599</v>
      </c>
      <c r="DD28" s="401">
        <f>DE28</f>
        <v>582951.41706082097</v>
      </c>
      <c r="DE28" s="401">
        <f>IF(B28="None",0,'Transport Data'!G76)</f>
        <v>582951.41706082097</v>
      </c>
      <c r="DF28" s="401">
        <f>DE28/($CI$1-$BY$1)</f>
        <v>58295.141706082097</v>
      </c>
      <c r="DG28" s="401">
        <v>100</v>
      </c>
      <c r="DH28" s="401">
        <f>DF28</f>
        <v>58295.141706082097</v>
      </c>
      <c r="DI28" s="401"/>
      <c r="DJ28" s="401">
        <f>DL28</f>
        <v>971203.44992398599</v>
      </c>
      <c r="DK28" s="401">
        <f>(DC28-CI28)/($DC$1-$CI$1)</f>
        <v>19412.60164315825</v>
      </c>
      <c r="DL28" s="401">
        <f>IF(B28="None",0,'Transport Data'!I76)</f>
        <v>971203.44992398599</v>
      </c>
      <c r="DM28" s="403">
        <f>I28*DG28</f>
        <v>59.117909647479074</v>
      </c>
      <c r="DN28" s="465">
        <f>IF(B28="None",0,'Transport Data'!I76)</f>
        <v>971203.44992398599</v>
      </c>
    </row>
    <row r="29" spans="1:118" ht="24" customHeight="1" thickBot="1">
      <c r="B29" s="422"/>
      <c r="C29" s="333"/>
      <c r="D29" s="435"/>
      <c r="E29" s="435"/>
      <c r="F29" s="333"/>
      <c r="G29" s="447"/>
      <c r="H29" s="447"/>
      <c r="I29" s="448"/>
      <c r="J29" s="404"/>
      <c r="AB29" s="428"/>
      <c r="AC29" s="428"/>
      <c r="AD29" s="428"/>
      <c r="AE29" s="581"/>
      <c r="AF29" s="604"/>
      <c r="AG29" s="604"/>
      <c r="AH29" s="604"/>
      <c r="AI29" s="604"/>
      <c r="AJ29" s="604"/>
      <c r="AK29" s="604"/>
      <c r="AL29" s="604"/>
      <c r="AM29" s="604"/>
      <c r="AN29" s="604"/>
      <c r="AO29" s="581"/>
      <c r="AP29" s="604"/>
      <c r="AQ29" s="604"/>
      <c r="AR29" s="604"/>
      <c r="AS29" s="604"/>
      <c r="AT29" s="604"/>
      <c r="AU29" s="604"/>
      <c r="AV29" s="604"/>
      <c r="AW29" s="604"/>
      <c r="AX29" s="604"/>
      <c r="AY29" s="604"/>
      <c r="AZ29" s="604"/>
      <c r="BA29" s="604"/>
      <c r="BB29" s="604"/>
      <c r="BC29" s="604"/>
      <c r="BD29" s="604"/>
      <c r="BE29" s="604"/>
      <c r="BF29" s="604"/>
      <c r="BG29" s="604"/>
      <c r="BH29" s="604"/>
      <c r="BI29" s="581"/>
      <c r="BR29" s="301"/>
      <c r="BS29" s="301"/>
      <c r="BT29" s="301"/>
      <c r="BU29" s="392"/>
      <c r="BV29" s="429"/>
      <c r="BW29" s="429"/>
      <c r="BX29" s="429"/>
      <c r="BY29" s="430"/>
      <c r="BZ29" s="429"/>
      <c r="CA29" s="429"/>
      <c r="CB29" s="429"/>
      <c r="CC29" s="429"/>
      <c r="CD29" s="429"/>
      <c r="CE29" s="429"/>
      <c r="CF29" s="429"/>
      <c r="CG29" s="429"/>
      <c r="CH29" s="429"/>
      <c r="CI29" s="430"/>
      <c r="CJ29" s="429"/>
      <c r="CK29" s="429"/>
      <c r="CL29" s="429"/>
      <c r="CM29" s="429"/>
      <c r="CN29" s="429"/>
      <c r="CO29" s="429"/>
      <c r="CP29" s="429"/>
      <c r="CQ29" s="429"/>
      <c r="CR29" s="429"/>
      <c r="CS29" s="429"/>
      <c r="CT29" s="429"/>
      <c r="CU29" s="429"/>
      <c r="CV29" s="429"/>
      <c r="CW29" s="429"/>
      <c r="CX29" s="429"/>
      <c r="CY29" s="429"/>
      <c r="CZ29" s="429"/>
      <c r="DA29" s="429"/>
      <c r="DB29" s="429"/>
      <c r="DC29" s="430"/>
      <c r="DD29" s="429"/>
      <c r="DE29" s="429"/>
      <c r="DF29" s="429"/>
      <c r="DG29" s="429"/>
      <c r="DH29" s="429"/>
      <c r="DI29" s="429"/>
      <c r="DJ29" s="429"/>
      <c r="DK29" s="429"/>
      <c r="DL29" s="429"/>
      <c r="DM29" s="432"/>
      <c r="DN29" s="428"/>
    </row>
    <row r="30" spans="1:118" ht="21" thickBot="1">
      <c r="B30" s="466" t="s">
        <v>564</v>
      </c>
      <c r="C30" s="415">
        <v>0</v>
      </c>
      <c r="D30" s="467">
        <v>0</v>
      </c>
      <c r="E30" s="467">
        <v>1</v>
      </c>
      <c r="F30" s="415">
        <v>1</v>
      </c>
      <c r="G30" s="468">
        <v>0</v>
      </c>
      <c r="H30" s="468">
        <v>1</v>
      </c>
      <c r="I30" s="469">
        <f>C30+F30</f>
        <v>1</v>
      </c>
      <c r="J30" s="466" t="s">
        <v>559</v>
      </c>
      <c r="K30" s="399"/>
      <c r="W30" s="399"/>
      <c r="AA30" s="298" t="str">
        <f>BU30</f>
        <v>Replace Remaining Gasoline with Renewables</v>
      </c>
      <c r="AB30" s="470"/>
      <c r="AC30" s="470"/>
      <c r="AD30" s="470"/>
      <c r="AE30" s="588">
        <f t="shared" ref="AE30:BI30" si="42">BY30*-1</f>
        <v>0</v>
      </c>
      <c r="AF30" s="611">
        <f t="shared" si="42"/>
        <v>0</v>
      </c>
      <c r="AG30" s="611">
        <f t="shared" si="42"/>
        <v>0</v>
      </c>
      <c r="AH30" s="611">
        <f t="shared" si="42"/>
        <v>0</v>
      </c>
      <c r="AI30" s="611">
        <f t="shared" si="42"/>
        <v>0</v>
      </c>
      <c r="AJ30" s="611">
        <f t="shared" si="42"/>
        <v>0</v>
      </c>
      <c r="AK30" s="611">
        <f t="shared" si="42"/>
        <v>0</v>
      </c>
      <c r="AL30" s="611">
        <f t="shared" si="42"/>
        <v>0</v>
      </c>
      <c r="AM30" s="611">
        <f t="shared" si="42"/>
        <v>0</v>
      </c>
      <c r="AN30" s="611">
        <f t="shared" si="42"/>
        <v>0</v>
      </c>
      <c r="AO30" s="588">
        <f t="shared" si="42"/>
        <v>0</v>
      </c>
      <c r="AP30" s="611">
        <f t="shared" si="42"/>
        <v>-40734.190763691724</v>
      </c>
      <c r="AQ30" s="611">
        <f t="shared" si="42"/>
        <v>-81468.381527383724</v>
      </c>
      <c r="AR30" s="611">
        <f t="shared" si="42"/>
        <v>-122202.57229107572</v>
      </c>
      <c r="AS30" s="611">
        <f t="shared" si="42"/>
        <v>-162936.76305476771</v>
      </c>
      <c r="AT30" s="611">
        <f t="shared" si="42"/>
        <v>-203670.9538184597</v>
      </c>
      <c r="AU30" s="611">
        <f t="shared" si="42"/>
        <v>-244405.1445821517</v>
      </c>
      <c r="AV30" s="611">
        <f t="shared" si="42"/>
        <v>-285139.33534584369</v>
      </c>
      <c r="AW30" s="611">
        <f t="shared" si="42"/>
        <v>-325873.52610953571</v>
      </c>
      <c r="AX30" s="611">
        <f t="shared" si="42"/>
        <v>-366607.71687322774</v>
      </c>
      <c r="AY30" s="611">
        <f t="shared" si="42"/>
        <v>-407341.90763691976</v>
      </c>
      <c r="AZ30" s="611">
        <f t="shared" si="42"/>
        <v>-448076.09840061178</v>
      </c>
      <c r="BA30" s="611">
        <f t="shared" si="42"/>
        <v>-488810.2891643038</v>
      </c>
      <c r="BB30" s="611">
        <f t="shared" si="42"/>
        <v>-529544.47992799582</v>
      </c>
      <c r="BC30" s="611">
        <f t="shared" si="42"/>
        <v>-570278.67069168785</v>
      </c>
      <c r="BD30" s="611">
        <f t="shared" si="42"/>
        <v>-611012.86145537987</v>
      </c>
      <c r="BE30" s="611">
        <f t="shared" si="42"/>
        <v>-651747.05221907189</v>
      </c>
      <c r="BF30" s="611">
        <f t="shared" si="42"/>
        <v>-692481.24298276391</v>
      </c>
      <c r="BG30" s="611">
        <f t="shared" si="42"/>
        <v>-733215.43374645594</v>
      </c>
      <c r="BH30" s="611">
        <f t="shared" si="42"/>
        <v>-773949.62451014796</v>
      </c>
      <c r="BI30" s="588">
        <f t="shared" si="42"/>
        <v>-814683.81527383998</v>
      </c>
      <c r="BR30" s="301"/>
      <c r="BS30" s="301"/>
      <c r="BT30" s="301"/>
      <c r="BU30" s="392" t="str">
        <f>B30</f>
        <v>Replace Remaining Gasoline with Renewables</v>
      </c>
      <c r="BV30" s="401"/>
      <c r="BW30" s="401"/>
      <c r="BX30" s="401"/>
      <c r="BY30" s="402">
        <f t="shared" ref="BY30:CG30" si="43">BZ30-$DH$30</f>
        <v>0</v>
      </c>
      <c r="BZ30" s="401">
        <f t="shared" si="43"/>
        <v>0</v>
      </c>
      <c r="CA30" s="401">
        <f t="shared" si="43"/>
        <v>0</v>
      </c>
      <c r="CB30" s="401">
        <f t="shared" si="43"/>
        <v>0</v>
      </c>
      <c r="CC30" s="401">
        <f t="shared" si="43"/>
        <v>0</v>
      </c>
      <c r="CD30" s="401">
        <f t="shared" si="43"/>
        <v>0</v>
      </c>
      <c r="CE30" s="401">
        <f t="shared" si="43"/>
        <v>0</v>
      </c>
      <c r="CF30" s="401">
        <f t="shared" si="43"/>
        <v>0</v>
      </c>
      <c r="CG30" s="401">
        <f t="shared" si="43"/>
        <v>0</v>
      </c>
      <c r="CH30" s="401">
        <f>CI30-$DH$30</f>
        <v>0</v>
      </c>
      <c r="CI30" s="402">
        <f>DD30</f>
        <v>0</v>
      </c>
      <c r="CJ30" s="401">
        <f t="shared" ref="CJ30:CZ30" si="44">CK30-$DK$30</f>
        <v>40734.190763691724</v>
      </c>
      <c r="CK30" s="401">
        <f t="shared" si="44"/>
        <v>81468.381527383724</v>
      </c>
      <c r="CL30" s="401">
        <f t="shared" si="44"/>
        <v>122202.57229107572</v>
      </c>
      <c r="CM30" s="401">
        <f t="shared" si="44"/>
        <v>162936.76305476771</v>
      </c>
      <c r="CN30" s="401">
        <f t="shared" si="44"/>
        <v>203670.9538184597</v>
      </c>
      <c r="CO30" s="401">
        <f t="shared" si="44"/>
        <v>244405.1445821517</v>
      </c>
      <c r="CP30" s="401">
        <f t="shared" si="44"/>
        <v>285139.33534584369</v>
      </c>
      <c r="CQ30" s="401">
        <f t="shared" si="44"/>
        <v>325873.52610953571</v>
      </c>
      <c r="CR30" s="401">
        <f t="shared" si="44"/>
        <v>366607.71687322774</v>
      </c>
      <c r="CS30" s="401">
        <f t="shared" si="44"/>
        <v>407341.90763691976</v>
      </c>
      <c r="CT30" s="401">
        <f t="shared" si="44"/>
        <v>448076.09840061178</v>
      </c>
      <c r="CU30" s="401">
        <f t="shared" si="44"/>
        <v>488810.2891643038</v>
      </c>
      <c r="CV30" s="401">
        <f t="shared" si="44"/>
        <v>529544.47992799582</v>
      </c>
      <c r="CW30" s="401">
        <f>CX30-$DK$30</f>
        <v>570278.67069168785</v>
      </c>
      <c r="CX30" s="401">
        <f t="shared" si="44"/>
        <v>611012.86145537987</v>
      </c>
      <c r="CY30" s="401">
        <f t="shared" si="44"/>
        <v>651747.05221907189</v>
      </c>
      <c r="CZ30" s="401">
        <f t="shared" si="44"/>
        <v>692481.24298276391</v>
      </c>
      <c r="DA30" s="401">
        <f>DB30-$DK$30</f>
        <v>733215.43374645594</v>
      </c>
      <c r="DB30" s="401">
        <f>DC30-$DK$30</f>
        <v>773949.62451014796</v>
      </c>
      <c r="DC30" s="402">
        <f>DN30</f>
        <v>814683.81527383998</v>
      </c>
      <c r="DD30" s="401">
        <f>DE30*DG30/(H30*100)</f>
        <v>0</v>
      </c>
      <c r="DE30" s="401">
        <f>'Transport Data'!J76</f>
        <v>1270261.2999782038</v>
      </c>
      <c r="DF30" s="401">
        <f>DE30/($CI$1-$BY$1)</f>
        <v>127026.12999782039</v>
      </c>
      <c r="DG30" s="401">
        <f>C30*100</f>
        <v>0</v>
      </c>
      <c r="DH30" s="401">
        <f>DF30*DG30/(E30*100)</f>
        <v>0</v>
      </c>
      <c r="DI30" s="401"/>
      <c r="DJ30" s="401">
        <f>DN30-DD30</f>
        <v>814683.81527383998</v>
      </c>
      <c r="DK30" s="401">
        <f>(DC30-CI30)/($DC$1-$CI$1)</f>
        <v>40734.190763692</v>
      </c>
      <c r="DL30" s="401">
        <f>'Transport Data'!O76</f>
        <v>814683.81527383998</v>
      </c>
      <c r="DM30" s="403">
        <f>(I30)*100</f>
        <v>100</v>
      </c>
      <c r="DN30" s="470">
        <f>DL30*DM30/(H30*100)</f>
        <v>814683.81527383998</v>
      </c>
    </row>
    <row r="31" spans="1:118" ht="21" thickBot="1">
      <c r="B31" s="422"/>
      <c r="C31" s="333"/>
      <c r="D31" s="435"/>
      <c r="E31" s="435"/>
      <c r="F31" s="333"/>
      <c r="G31" s="447"/>
      <c r="H31" s="447"/>
      <c r="I31" s="448"/>
      <c r="J31" s="404"/>
      <c r="AB31" s="428"/>
      <c r="AC31" s="428"/>
      <c r="AD31" s="428"/>
      <c r="AE31" s="581"/>
      <c r="AF31" s="604"/>
      <c r="AG31" s="604"/>
      <c r="AH31" s="604"/>
      <c r="AI31" s="604"/>
      <c r="AJ31" s="604"/>
      <c r="AK31" s="604"/>
      <c r="AL31" s="604"/>
      <c r="AM31" s="604"/>
      <c r="AN31" s="604"/>
      <c r="AO31" s="581"/>
      <c r="AP31" s="604"/>
      <c r="AQ31" s="604"/>
      <c r="AR31" s="604"/>
      <c r="AS31" s="604"/>
      <c r="AT31" s="604"/>
      <c r="AU31" s="604"/>
      <c r="AV31" s="604"/>
      <c r="AW31" s="604"/>
      <c r="AX31" s="604"/>
      <c r="AY31" s="604"/>
      <c r="AZ31" s="604"/>
      <c r="BA31" s="604"/>
      <c r="BB31" s="604"/>
      <c r="BC31" s="604"/>
      <c r="BD31" s="604"/>
      <c r="BE31" s="604"/>
      <c r="BF31" s="604"/>
      <c r="BG31" s="604"/>
      <c r="BH31" s="604"/>
      <c r="BI31" s="581"/>
      <c r="BR31" s="301"/>
      <c r="BS31" s="301"/>
      <c r="BT31" s="301"/>
      <c r="BU31" s="392"/>
      <c r="BV31" s="429"/>
      <c r="BW31" s="429"/>
      <c r="BX31" s="429"/>
      <c r="BY31" s="430"/>
      <c r="BZ31" s="429"/>
      <c r="CA31" s="429"/>
      <c r="CB31" s="429"/>
      <c r="CC31" s="429"/>
      <c r="CD31" s="429"/>
      <c r="CE31" s="429"/>
      <c r="CF31" s="429"/>
      <c r="CG31" s="429"/>
      <c r="CH31" s="429"/>
      <c r="CI31" s="430"/>
      <c r="CJ31" s="429"/>
      <c r="CK31" s="429"/>
      <c r="CL31" s="429"/>
      <c r="CM31" s="429"/>
      <c r="CN31" s="429"/>
      <c r="CO31" s="429"/>
      <c r="CP31" s="429"/>
      <c r="CQ31" s="429"/>
      <c r="CR31" s="429"/>
      <c r="CS31" s="429"/>
      <c r="CT31" s="429"/>
      <c r="CU31" s="429"/>
      <c r="CV31" s="429"/>
      <c r="CW31" s="429"/>
      <c r="CX31" s="429"/>
      <c r="CY31" s="429"/>
      <c r="CZ31" s="429"/>
      <c r="DA31" s="429"/>
      <c r="DB31" s="429"/>
      <c r="DC31" s="430"/>
      <c r="DD31" s="429"/>
      <c r="DE31" s="429"/>
      <c r="DF31" s="429"/>
      <c r="DG31" s="429"/>
      <c r="DH31" s="429"/>
      <c r="DI31" s="429"/>
      <c r="DJ31" s="429"/>
      <c r="DK31" s="429"/>
      <c r="DL31" s="429"/>
      <c r="DM31" s="432"/>
      <c r="DN31" s="428"/>
    </row>
    <row r="32" spans="1:118" ht="21" hidden="1" thickBot="1">
      <c r="B32" s="471" t="s">
        <v>142</v>
      </c>
      <c r="C32" s="415"/>
      <c r="D32" s="472">
        <v>0</v>
      </c>
      <c r="E32" s="472">
        <v>1</v>
      </c>
      <c r="F32" s="415"/>
      <c r="G32" s="473">
        <v>0</v>
      </c>
      <c r="H32" s="473">
        <v>1</v>
      </c>
      <c r="I32" s="474">
        <f>C32+F32</f>
        <v>0</v>
      </c>
      <c r="J32" s="471" t="s">
        <v>286</v>
      </c>
      <c r="K32" s="399"/>
      <c r="W32" s="399"/>
      <c r="AA32" s="298" t="str">
        <f>BU32</f>
        <v>Commercial Electric Vehicles</v>
      </c>
      <c r="AB32" s="475"/>
      <c r="AC32" s="475"/>
      <c r="AD32" s="475"/>
      <c r="AE32" s="589">
        <f t="shared" ref="AE32:BI32" si="45">BY32*-1</f>
        <v>0</v>
      </c>
      <c r="AF32" s="612">
        <f t="shared" si="45"/>
        <v>0</v>
      </c>
      <c r="AG32" s="612">
        <f t="shared" si="45"/>
        <v>0</v>
      </c>
      <c r="AH32" s="612">
        <f t="shared" si="45"/>
        <v>0</v>
      </c>
      <c r="AI32" s="612">
        <f t="shared" si="45"/>
        <v>0</v>
      </c>
      <c r="AJ32" s="612">
        <f t="shared" si="45"/>
        <v>0</v>
      </c>
      <c r="AK32" s="612">
        <f t="shared" si="45"/>
        <v>0</v>
      </c>
      <c r="AL32" s="612">
        <f t="shared" si="45"/>
        <v>0</v>
      </c>
      <c r="AM32" s="612">
        <f t="shared" si="45"/>
        <v>0</v>
      </c>
      <c r="AN32" s="612">
        <f t="shared" si="45"/>
        <v>0</v>
      </c>
      <c r="AO32" s="589">
        <f t="shared" si="45"/>
        <v>0</v>
      </c>
      <c r="AP32" s="612">
        <f t="shared" si="45"/>
        <v>0</v>
      </c>
      <c r="AQ32" s="612">
        <f t="shared" si="45"/>
        <v>0</v>
      </c>
      <c r="AR32" s="612">
        <f t="shared" si="45"/>
        <v>0</v>
      </c>
      <c r="AS32" s="612">
        <f t="shared" si="45"/>
        <v>0</v>
      </c>
      <c r="AT32" s="612">
        <f t="shared" si="45"/>
        <v>0</v>
      </c>
      <c r="AU32" s="612">
        <f t="shared" si="45"/>
        <v>0</v>
      </c>
      <c r="AV32" s="612">
        <f t="shared" si="45"/>
        <v>0</v>
      </c>
      <c r="AW32" s="612">
        <f t="shared" si="45"/>
        <v>0</v>
      </c>
      <c r="AX32" s="612">
        <f t="shared" si="45"/>
        <v>0</v>
      </c>
      <c r="AY32" s="612">
        <f t="shared" si="45"/>
        <v>0</v>
      </c>
      <c r="AZ32" s="612">
        <f t="shared" si="45"/>
        <v>0</v>
      </c>
      <c r="BA32" s="612">
        <f t="shared" si="45"/>
        <v>0</v>
      </c>
      <c r="BB32" s="612">
        <f t="shared" si="45"/>
        <v>0</v>
      </c>
      <c r="BC32" s="612">
        <f t="shared" si="45"/>
        <v>0</v>
      </c>
      <c r="BD32" s="612">
        <f t="shared" si="45"/>
        <v>0</v>
      </c>
      <c r="BE32" s="612">
        <f t="shared" si="45"/>
        <v>0</v>
      </c>
      <c r="BF32" s="612">
        <f t="shared" si="45"/>
        <v>0</v>
      </c>
      <c r="BG32" s="612">
        <f t="shared" si="45"/>
        <v>0</v>
      </c>
      <c r="BH32" s="612">
        <f t="shared" si="45"/>
        <v>0</v>
      </c>
      <c r="BI32" s="589">
        <f t="shared" si="45"/>
        <v>0</v>
      </c>
      <c r="BR32" s="301"/>
      <c r="BS32" s="301"/>
      <c r="BT32" s="301"/>
      <c r="BU32" s="392" t="str">
        <f>B32</f>
        <v>Commercial Electric Vehicles</v>
      </c>
      <c r="BV32" s="401"/>
      <c r="BW32" s="401"/>
      <c r="BX32" s="401"/>
      <c r="BY32" s="402">
        <f t="shared" ref="BY32:CG32" si="46">BZ32-$DH$32</f>
        <v>0</v>
      </c>
      <c r="BZ32" s="401">
        <f t="shared" si="46"/>
        <v>0</v>
      </c>
      <c r="CA32" s="401">
        <f t="shared" si="46"/>
        <v>0</v>
      </c>
      <c r="CB32" s="401">
        <f t="shared" si="46"/>
        <v>0</v>
      </c>
      <c r="CC32" s="401">
        <f t="shared" si="46"/>
        <v>0</v>
      </c>
      <c r="CD32" s="401">
        <f t="shared" si="46"/>
        <v>0</v>
      </c>
      <c r="CE32" s="401">
        <f t="shared" si="46"/>
        <v>0</v>
      </c>
      <c r="CF32" s="401">
        <f t="shared" si="46"/>
        <v>0</v>
      </c>
      <c r="CG32" s="401">
        <f t="shared" si="46"/>
        <v>0</v>
      </c>
      <c r="CH32" s="401">
        <f>CI32-$DH$32</f>
        <v>0</v>
      </c>
      <c r="CI32" s="402">
        <f>DD32</f>
        <v>0</v>
      </c>
      <c r="CJ32" s="401">
        <f t="shared" ref="CJ32:CZ32" si="47">CK32-$DK$32</f>
        <v>0</v>
      </c>
      <c r="CK32" s="401">
        <f t="shared" si="47"/>
        <v>0</v>
      </c>
      <c r="CL32" s="401">
        <f t="shared" si="47"/>
        <v>0</v>
      </c>
      <c r="CM32" s="401">
        <f t="shared" si="47"/>
        <v>0</v>
      </c>
      <c r="CN32" s="401">
        <f t="shared" si="47"/>
        <v>0</v>
      </c>
      <c r="CO32" s="401">
        <f t="shared" si="47"/>
        <v>0</v>
      </c>
      <c r="CP32" s="401">
        <f t="shared" si="47"/>
        <v>0</v>
      </c>
      <c r="CQ32" s="401">
        <f t="shared" si="47"/>
        <v>0</v>
      </c>
      <c r="CR32" s="401">
        <f t="shared" si="47"/>
        <v>0</v>
      </c>
      <c r="CS32" s="401">
        <f t="shared" si="47"/>
        <v>0</v>
      </c>
      <c r="CT32" s="401">
        <f t="shared" si="47"/>
        <v>0</v>
      </c>
      <c r="CU32" s="401">
        <f t="shared" si="47"/>
        <v>0</v>
      </c>
      <c r="CV32" s="401">
        <f t="shared" si="47"/>
        <v>0</v>
      </c>
      <c r="CW32" s="401">
        <f>CX32-$DK$32</f>
        <v>0</v>
      </c>
      <c r="CX32" s="401">
        <f t="shared" si="47"/>
        <v>0</v>
      </c>
      <c r="CY32" s="401">
        <f t="shared" si="47"/>
        <v>0</v>
      </c>
      <c r="CZ32" s="401">
        <f t="shared" si="47"/>
        <v>0</v>
      </c>
      <c r="DA32" s="401">
        <f>DB32-$DK$32</f>
        <v>0</v>
      </c>
      <c r="DB32" s="401">
        <f>DC32-$DK$32</f>
        <v>0</v>
      </c>
      <c r="DC32" s="402">
        <f>DN32</f>
        <v>0</v>
      </c>
      <c r="DD32" s="401">
        <f>DE32*DG32/(H32*100)</f>
        <v>0</v>
      </c>
      <c r="DE32" s="401"/>
      <c r="DF32" s="401"/>
      <c r="DG32" s="401">
        <f>C32*100</f>
        <v>0</v>
      </c>
      <c r="DH32" s="401">
        <f>DF32*DG32/(E32*100)</f>
        <v>0</v>
      </c>
      <c r="DI32" s="401"/>
      <c r="DJ32" s="401">
        <f>DN32-DD32</f>
        <v>0</v>
      </c>
      <c r="DK32" s="401">
        <f>(DC32-CI32)/($DC$1-$CI$1)</f>
        <v>0</v>
      </c>
      <c r="DL32" s="401"/>
      <c r="DM32" s="403">
        <f>(I32)*100</f>
        <v>0</v>
      </c>
      <c r="DN32" s="475">
        <f>DL32*DM32/(H32*100)</f>
        <v>0</v>
      </c>
    </row>
    <row r="33" spans="2:118" ht="21" hidden="1" thickBot="1">
      <c r="B33" s="422"/>
      <c r="C33" s="333"/>
      <c r="D33" s="435"/>
      <c r="E33" s="435"/>
      <c r="F33" s="333"/>
      <c r="G33" s="447"/>
      <c r="H33" s="447"/>
      <c r="I33" s="448"/>
      <c r="J33" s="476"/>
      <c r="AB33" s="428"/>
      <c r="AC33" s="428"/>
      <c r="AD33" s="428"/>
      <c r="AE33" s="581"/>
      <c r="AF33" s="604"/>
      <c r="AG33" s="604"/>
      <c r="AH33" s="604"/>
      <c r="AI33" s="604"/>
      <c r="AJ33" s="604"/>
      <c r="AK33" s="604"/>
      <c r="AL33" s="604"/>
      <c r="AM33" s="604"/>
      <c r="AN33" s="604"/>
      <c r="AO33" s="581"/>
      <c r="AP33" s="604"/>
      <c r="AQ33" s="604"/>
      <c r="AR33" s="604"/>
      <c r="AS33" s="604"/>
      <c r="AT33" s="604"/>
      <c r="AU33" s="604"/>
      <c r="AV33" s="604"/>
      <c r="AW33" s="604"/>
      <c r="AX33" s="604"/>
      <c r="AY33" s="604"/>
      <c r="AZ33" s="604"/>
      <c r="BA33" s="604"/>
      <c r="BB33" s="604"/>
      <c r="BC33" s="604"/>
      <c r="BD33" s="604"/>
      <c r="BE33" s="604"/>
      <c r="BF33" s="604"/>
      <c r="BG33" s="604"/>
      <c r="BH33" s="604"/>
      <c r="BI33" s="581"/>
      <c r="BR33" s="301"/>
      <c r="BS33" s="301"/>
      <c r="BT33" s="301"/>
      <c r="BU33" s="392"/>
      <c r="BV33" s="429"/>
      <c r="BW33" s="429"/>
      <c r="BX33" s="429"/>
      <c r="BY33" s="430"/>
      <c r="BZ33" s="429"/>
      <c r="CA33" s="429"/>
      <c r="CB33" s="429"/>
      <c r="CC33" s="429"/>
      <c r="CD33" s="429"/>
      <c r="CE33" s="429"/>
      <c r="CF33" s="429"/>
      <c r="CG33" s="429"/>
      <c r="CH33" s="429"/>
      <c r="CI33" s="430"/>
      <c r="CJ33" s="429"/>
      <c r="CK33" s="429"/>
      <c r="CL33" s="429"/>
      <c r="CM33" s="429"/>
      <c r="CN33" s="429"/>
      <c r="CO33" s="429"/>
      <c r="CP33" s="429"/>
      <c r="CQ33" s="429"/>
      <c r="CR33" s="429"/>
      <c r="CS33" s="429"/>
      <c r="CT33" s="429"/>
      <c r="CU33" s="429"/>
      <c r="CV33" s="429"/>
      <c r="CW33" s="429"/>
      <c r="CX33" s="429"/>
      <c r="CY33" s="429"/>
      <c r="CZ33" s="429"/>
      <c r="DA33" s="429"/>
      <c r="DB33" s="429"/>
      <c r="DC33" s="430"/>
      <c r="DD33" s="429"/>
      <c r="DE33" s="429"/>
      <c r="DF33" s="429"/>
      <c r="DG33" s="429"/>
      <c r="DH33" s="429"/>
      <c r="DI33" s="429"/>
      <c r="DJ33" s="429"/>
      <c r="DK33" s="429"/>
      <c r="DL33" s="429"/>
      <c r="DM33" s="432"/>
      <c r="DN33" s="428"/>
    </row>
    <row r="34" spans="2:118" ht="21" thickBot="1">
      <c r="B34" s="477" t="s">
        <v>558</v>
      </c>
      <c r="C34" s="415">
        <v>0.8</v>
      </c>
      <c r="D34" s="478">
        <v>0</v>
      </c>
      <c r="E34" s="478">
        <v>1</v>
      </c>
      <c r="F34" s="415">
        <v>0.2</v>
      </c>
      <c r="G34" s="479">
        <v>0</v>
      </c>
      <c r="H34" s="479">
        <v>1</v>
      </c>
      <c r="I34" s="480">
        <f>C34+F34</f>
        <v>1</v>
      </c>
      <c r="J34" s="477" t="s">
        <v>560</v>
      </c>
      <c r="K34" s="399"/>
      <c r="W34" s="399"/>
      <c r="AA34" s="298" t="str">
        <f>BU34</f>
        <v>Replace Remaining Diesel with Renewables</v>
      </c>
      <c r="AB34" s="481"/>
      <c r="AC34" s="481"/>
      <c r="AD34" s="481"/>
      <c r="AE34" s="590">
        <f t="shared" ref="AE34:BI34" si="48">BY34*-1</f>
        <v>-5.8207660913467407E-11</v>
      </c>
      <c r="AF34" s="613">
        <f t="shared" si="48"/>
        <v>-50926.034061178158</v>
      </c>
      <c r="AG34" s="613">
        <f t="shared" si="48"/>
        <v>-101852.06812235626</v>
      </c>
      <c r="AH34" s="613">
        <f t="shared" si="48"/>
        <v>-152778.10218353436</v>
      </c>
      <c r="AI34" s="613">
        <f t="shared" si="48"/>
        <v>-203704.13624471246</v>
      </c>
      <c r="AJ34" s="613">
        <f t="shared" si="48"/>
        <v>-254630.17030589056</v>
      </c>
      <c r="AK34" s="613">
        <f t="shared" si="48"/>
        <v>-305556.20436706865</v>
      </c>
      <c r="AL34" s="613">
        <f t="shared" si="48"/>
        <v>-356482.23842824675</v>
      </c>
      <c r="AM34" s="613">
        <f t="shared" si="48"/>
        <v>-407408.27248942485</v>
      </c>
      <c r="AN34" s="613">
        <f t="shared" si="48"/>
        <v>-458334.30655060295</v>
      </c>
      <c r="AO34" s="590">
        <f t="shared" si="48"/>
        <v>-509260.34061178105</v>
      </c>
      <c r="AP34" s="613">
        <f t="shared" si="48"/>
        <v>-508801.22709937801</v>
      </c>
      <c r="AQ34" s="613">
        <f t="shared" si="48"/>
        <v>-508342.11358697474</v>
      </c>
      <c r="AR34" s="613">
        <f t="shared" si="48"/>
        <v>-507883.00007457146</v>
      </c>
      <c r="AS34" s="613">
        <f t="shared" si="48"/>
        <v>-507423.88656216819</v>
      </c>
      <c r="AT34" s="613">
        <f t="shared" si="48"/>
        <v>-506964.77304976492</v>
      </c>
      <c r="AU34" s="613">
        <f t="shared" si="48"/>
        <v>-506505.65953736164</v>
      </c>
      <c r="AV34" s="613">
        <f t="shared" si="48"/>
        <v>-506046.54602495837</v>
      </c>
      <c r="AW34" s="613">
        <f t="shared" si="48"/>
        <v>-505587.4325125551</v>
      </c>
      <c r="AX34" s="613">
        <f t="shared" si="48"/>
        <v>-505128.31900015182</v>
      </c>
      <c r="AY34" s="613">
        <f t="shared" si="48"/>
        <v>-504669.20548774855</v>
      </c>
      <c r="AZ34" s="613">
        <f t="shared" si="48"/>
        <v>-504210.09197534528</v>
      </c>
      <c r="BA34" s="613">
        <f t="shared" si="48"/>
        <v>-503750.978462942</v>
      </c>
      <c r="BB34" s="613">
        <f t="shared" si="48"/>
        <v>-503291.86495053873</v>
      </c>
      <c r="BC34" s="613">
        <f t="shared" si="48"/>
        <v>-502832.75143813546</v>
      </c>
      <c r="BD34" s="613">
        <f t="shared" si="48"/>
        <v>-502373.63792573218</v>
      </c>
      <c r="BE34" s="613">
        <f t="shared" si="48"/>
        <v>-501914.52441332891</v>
      </c>
      <c r="BF34" s="613">
        <f t="shared" si="48"/>
        <v>-501455.41090092564</v>
      </c>
      <c r="BG34" s="613">
        <f t="shared" si="48"/>
        <v>-500996.29738852236</v>
      </c>
      <c r="BH34" s="613">
        <f t="shared" si="48"/>
        <v>-500537.18387611909</v>
      </c>
      <c r="BI34" s="590">
        <f t="shared" si="48"/>
        <v>-500078.07036371581</v>
      </c>
      <c r="BR34" s="301"/>
      <c r="BS34" s="301"/>
      <c r="BT34" s="301"/>
      <c r="BU34" s="392" t="str">
        <f>B34</f>
        <v>Replace Remaining Diesel with Renewables</v>
      </c>
      <c r="BV34" s="401"/>
      <c r="BW34" s="401"/>
      <c r="BX34" s="401"/>
      <c r="BY34" s="402">
        <f t="shared" ref="BY34:CG34" si="49">BZ34-$DH$34</f>
        <v>5.8207660913467407E-11</v>
      </c>
      <c r="BZ34" s="401">
        <f t="shared" si="49"/>
        <v>50926.034061178158</v>
      </c>
      <c r="CA34" s="401">
        <f t="shared" si="49"/>
        <v>101852.06812235626</v>
      </c>
      <c r="CB34" s="401">
        <f t="shared" si="49"/>
        <v>152778.10218353436</v>
      </c>
      <c r="CC34" s="401">
        <f t="shared" si="49"/>
        <v>203704.13624471246</v>
      </c>
      <c r="CD34" s="401">
        <f t="shared" si="49"/>
        <v>254630.17030589056</v>
      </c>
      <c r="CE34" s="401">
        <f t="shared" si="49"/>
        <v>305556.20436706865</v>
      </c>
      <c r="CF34" s="401">
        <f t="shared" si="49"/>
        <v>356482.23842824675</v>
      </c>
      <c r="CG34" s="401">
        <f t="shared" si="49"/>
        <v>407408.27248942485</v>
      </c>
      <c r="CH34" s="401">
        <f>CI34-$DH$34</f>
        <v>458334.30655060295</v>
      </c>
      <c r="CI34" s="402">
        <f>DD34</f>
        <v>509260.34061178105</v>
      </c>
      <c r="CJ34" s="401">
        <f t="shared" ref="CJ34:DA34" si="50">CK34-$DK$34</f>
        <v>508801.22709937801</v>
      </c>
      <c r="CK34" s="401">
        <f t="shared" si="50"/>
        <v>508342.11358697474</v>
      </c>
      <c r="CL34" s="401">
        <f t="shared" si="50"/>
        <v>507883.00007457146</v>
      </c>
      <c r="CM34" s="401">
        <f t="shared" si="50"/>
        <v>507423.88656216819</v>
      </c>
      <c r="CN34" s="401">
        <f t="shared" si="50"/>
        <v>506964.77304976492</v>
      </c>
      <c r="CO34" s="401">
        <f t="shared" si="50"/>
        <v>506505.65953736164</v>
      </c>
      <c r="CP34" s="401">
        <f t="shared" si="50"/>
        <v>506046.54602495837</v>
      </c>
      <c r="CQ34" s="401">
        <f t="shared" si="50"/>
        <v>505587.4325125551</v>
      </c>
      <c r="CR34" s="401">
        <f t="shared" si="50"/>
        <v>505128.31900015182</v>
      </c>
      <c r="CS34" s="401">
        <f t="shared" si="50"/>
        <v>504669.20548774855</v>
      </c>
      <c r="CT34" s="401">
        <f t="shared" si="50"/>
        <v>504210.09197534528</v>
      </c>
      <c r="CU34" s="401">
        <f t="shared" si="50"/>
        <v>503750.978462942</v>
      </c>
      <c r="CV34" s="401">
        <f t="shared" si="50"/>
        <v>503291.86495053873</v>
      </c>
      <c r="CW34" s="401">
        <f>CX34-$DK$34</f>
        <v>502832.75143813546</v>
      </c>
      <c r="CX34" s="401">
        <f t="shared" si="50"/>
        <v>502373.63792573218</v>
      </c>
      <c r="CY34" s="401">
        <f t="shared" si="50"/>
        <v>501914.52441332891</v>
      </c>
      <c r="CZ34" s="401">
        <f t="shared" si="50"/>
        <v>501455.41090092564</v>
      </c>
      <c r="DA34" s="401">
        <f t="shared" si="50"/>
        <v>500996.29738852236</v>
      </c>
      <c r="DB34" s="401">
        <f>DC34-$DK$34</f>
        <v>500537.18387611909</v>
      </c>
      <c r="DC34" s="402">
        <f>DN34</f>
        <v>500078.07036371581</v>
      </c>
      <c r="DD34" s="401">
        <f>DE34*DG34/(H34*100)</f>
        <v>509260.34061178105</v>
      </c>
      <c r="DE34" s="401">
        <f>'Transport Data'!K76</f>
        <v>636575.42576472624</v>
      </c>
      <c r="DF34" s="401">
        <f>DE34/($CI$1-$BY$1)</f>
        <v>63657.542576472624</v>
      </c>
      <c r="DG34" s="401">
        <f>C34*100</f>
        <v>80</v>
      </c>
      <c r="DH34" s="401">
        <f>DF34*DG34/(E34*100)</f>
        <v>50926.034061178099</v>
      </c>
      <c r="DI34" s="401"/>
      <c r="DJ34" s="401">
        <f>DN34-DD34</f>
        <v>-9182.270248065237</v>
      </c>
      <c r="DK34" s="401">
        <f>(DC34-CI34)/($DC$1-$CI$1)</f>
        <v>-459.11351240326184</v>
      </c>
      <c r="DL34" s="401">
        <f>'Transport Data'!P76</f>
        <v>500078.07036371581</v>
      </c>
      <c r="DM34" s="403">
        <f>(I34)*100</f>
        <v>100</v>
      </c>
      <c r="DN34" s="481">
        <f>DL34*DM34/(H34*100)</f>
        <v>500078.07036371581</v>
      </c>
    </row>
    <row r="35" spans="2:118" ht="21" thickBot="1">
      <c r="B35" s="404"/>
      <c r="C35" s="333"/>
      <c r="D35" s="454"/>
      <c r="E35" s="454"/>
      <c r="F35" s="333"/>
      <c r="G35" s="407"/>
      <c r="H35" s="407"/>
      <c r="I35" s="456"/>
      <c r="J35" s="404"/>
      <c r="AB35" s="459"/>
      <c r="AC35" s="459"/>
      <c r="AD35" s="459"/>
      <c r="AE35" s="581"/>
      <c r="AF35" s="604"/>
      <c r="AG35" s="604"/>
      <c r="AH35" s="604"/>
      <c r="AI35" s="604"/>
      <c r="AJ35" s="604"/>
      <c r="AK35" s="604"/>
      <c r="AL35" s="604"/>
      <c r="AM35" s="604"/>
      <c r="AN35" s="604"/>
      <c r="AO35" s="581"/>
      <c r="AP35" s="604"/>
      <c r="AQ35" s="604"/>
      <c r="AR35" s="604"/>
      <c r="AS35" s="604"/>
      <c r="AT35" s="604"/>
      <c r="AU35" s="604"/>
      <c r="AV35" s="604"/>
      <c r="AW35" s="604"/>
      <c r="AX35" s="604"/>
      <c r="AY35" s="604"/>
      <c r="AZ35" s="604"/>
      <c r="BA35" s="604"/>
      <c r="BB35" s="604"/>
      <c r="BC35" s="604"/>
      <c r="BD35" s="604"/>
      <c r="BE35" s="604"/>
      <c r="BF35" s="604"/>
      <c r="BG35" s="604"/>
      <c r="BH35" s="604"/>
      <c r="BI35" s="581"/>
      <c r="BR35" s="301"/>
      <c r="BS35" s="301"/>
      <c r="BT35" s="301"/>
      <c r="BU35" s="392"/>
      <c r="BV35" s="460"/>
      <c r="BW35" s="460"/>
      <c r="BX35" s="460"/>
      <c r="BY35" s="461"/>
      <c r="BZ35" s="460"/>
      <c r="CA35" s="460"/>
      <c r="CB35" s="460"/>
      <c r="CC35" s="460"/>
      <c r="CD35" s="460"/>
      <c r="CE35" s="460"/>
      <c r="CF35" s="460"/>
      <c r="CG35" s="460"/>
      <c r="CH35" s="460"/>
      <c r="CI35" s="461"/>
      <c r="CJ35" s="460"/>
      <c r="CK35" s="460"/>
      <c r="CL35" s="460"/>
      <c r="CM35" s="460"/>
      <c r="CN35" s="460"/>
      <c r="CO35" s="460"/>
      <c r="CP35" s="460"/>
      <c r="CQ35" s="460"/>
      <c r="CR35" s="460"/>
      <c r="CS35" s="460"/>
      <c r="CT35" s="460"/>
      <c r="CU35" s="460"/>
      <c r="CV35" s="460"/>
      <c r="CW35" s="460"/>
      <c r="CX35" s="460"/>
      <c r="CY35" s="460"/>
      <c r="CZ35" s="460"/>
      <c r="DA35" s="460"/>
      <c r="DB35" s="460"/>
      <c r="DC35" s="461"/>
      <c r="DD35" s="460"/>
      <c r="DE35" s="460"/>
      <c r="DF35" s="460"/>
      <c r="DG35" s="460"/>
      <c r="DH35" s="460"/>
      <c r="DI35" s="460"/>
      <c r="DJ35" s="460"/>
      <c r="DK35" s="460"/>
      <c r="DL35" s="460"/>
      <c r="DM35" s="462"/>
      <c r="DN35" s="459"/>
    </row>
    <row r="36" spans="2:118" ht="21" thickBot="1">
      <c r="B36" s="482" t="s">
        <v>557</v>
      </c>
      <c r="C36" s="415">
        <v>0</v>
      </c>
      <c r="D36" s="483">
        <v>0</v>
      </c>
      <c r="E36" s="483">
        <v>1</v>
      </c>
      <c r="F36" s="415">
        <v>1</v>
      </c>
      <c r="G36" s="484">
        <v>0</v>
      </c>
      <c r="H36" s="484">
        <v>1</v>
      </c>
      <c r="I36" s="485">
        <f>C36+F36</f>
        <v>1</v>
      </c>
      <c r="J36" s="482" t="s">
        <v>272</v>
      </c>
      <c r="K36" s="399"/>
      <c r="W36" s="399"/>
      <c r="AA36" s="298" t="str">
        <f>BU36</f>
        <v>Additional Forest Carbon Storage</v>
      </c>
      <c r="AB36" s="486"/>
      <c r="AC36" s="486"/>
      <c r="AD36" s="486"/>
      <c r="AE36" s="591">
        <f t="shared" ref="AE36:BI36" si="51">BY36*-1</f>
        <v>0</v>
      </c>
      <c r="AF36" s="614">
        <f t="shared" si="51"/>
        <v>0</v>
      </c>
      <c r="AG36" s="614">
        <f t="shared" si="51"/>
        <v>0</v>
      </c>
      <c r="AH36" s="614">
        <f t="shared" si="51"/>
        <v>0</v>
      </c>
      <c r="AI36" s="614">
        <f t="shared" si="51"/>
        <v>0</v>
      </c>
      <c r="AJ36" s="614">
        <f t="shared" si="51"/>
        <v>0</v>
      </c>
      <c r="AK36" s="614">
        <f t="shared" si="51"/>
        <v>0</v>
      </c>
      <c r="AL36" s="614">
        <f t="shared" si="51"/>
        <v>0</v>
      </c>
      <c r="AM36" s="614">
        <f t="shared" si="51"/>
        <v>0</v>
      </c>
      <c r="AN36" s="614">
        <f t="shared" si="51"/>
        <v>0</v>
      </c>
      <c r="AO36" s="591">
        <f t="shared" si="51"/>
        <v>0</v>
      </c>
      <c r="AP36" s="614">
        <f t="shared" si="51"/>
        <v>-23842.492427724777</v>
      </c>
      <c r="AQ36" s="614">
        <f t="shared" si="51"/>
        <v>-47684.984855449708</v>
      </c>
      <c r="AR36" s="614">
        <f t="shared" si="51"/>
        <v>-71527.477283174638</v>
      </c>
      <c r="AS36" s="614">
        <f t="shared" si="51"/>
        <v>-95369.969710899575</v>
      </c>
      <c r="AT36" s="614">
        <f t="shared" si="51"/>
        <v>-119212.46213862451</v>
      </c>
      <c r="AU36" s="614">
        <f t="shared" si="51"/>
        <v>-143054.95456634945</v>
      </c>
      <c r="AV36" s="614">
        <f t="shared" si="51"/>
        <v>-166897.44699407439</v>
      </c>
      <c r="AW36" s="614">
        <f t="shared" si="51"/>
        <v>-190739.93942179932</v>
      </c>
      <c r="AX36" s="614">
        <f t="shared" si="51"/>
        <v>-214582.43184952426</v>
      </c>
      <c r="AY36" s="614">
        <f t="shared" si="51"/>
        <v>-238424.9242772492</v>
      </c>
      <c r="AZ36" s="614">
        <f t="shared" si="51"/>
        <v>-262267.41670497414</v>
      </c>
      <c r="BA36" s="614">
        <f t="shared" si="51"/>
        <v>-286109.90913269907</v>
      </c>
      <c r="BB36" s="614">
        <f t="shared" si="51"/>
        <v>-309952.40156042401</v>
      </c>
      <c r="BC36" s="614">
        <f t="shared" si="51"/>
        <v>-333794.89398814895</v>
      </c>
      <c r="BD36" s="614">
        <f t="shared" si="51"/>
        <v>-357637.38641587389</v>
      </c>
      <c r="BE36" s="614">
        <f t="shared" si="51"/>
        <v>-381479.87884359882</v>
      </c>
      <c r="BF36" s="614">
        <f t="shared" si="51"/>
        <v>-405322.37127132376</v>
      </c>
      <c r="BG36" s="614">
        <f t="shared" si="51"/>
        <v>-429164.8636990487</v>
      </c>
      <c r="BH36" s="614">
        <f t="shared" si="51"/>
        <v>-453007.35612677364</v>
      </c>
      <c r="BI36" s="591">
        <f t="shared" si="51"/>
        <v>-476849.84855449857</v>
      </c>
      <c r="BR36" s="301"/>
      <c r="BS36" s="301"/>
      <c r="BT36" s="301"/>
      <c r="BU36" s="392" t="str">
        <f>B36</f>
        <v>Additional Forest Carbon Storage</v>
      </c>
      <c r="BV36" s="401"/>
      <c r="BW36" s="401"/>
      <c r="BX36" s="401"/>
      <c r="BY36" s="402">
        <f t="shared" ref="BY36:CG36" si="52">BZ36-$DH$36</f>
        <v>0</v>
      </c>
      <c r="BZ36" s="401">
        <f t="shared" si="52"/>
        <v>0</v>
      </c>
      <c r="CA36" s="401">
        <f t="shared" si="52"/>
        <v>0</v>
      </c>
      <c r="CB36" s="401">
        <f t="shared" si="52"/>
        <v>0</v>
      </c>
      <c r="CC36" s="401">
        <f t="shared" si="52"/>
        <v>0</v>
      </c>
      <c r="CD36" s="401">
        <f t="shared" si="52"/>
        <v>0</v>
      </c>
      <c r="CE36" s="401">
        <f t="shared" si="52"/>
        <v>0</v>
      </c>
      <c r="CF36" s="401">
        <f t="shared" si="52"/>
        <v>0</v>
      </c>
      <c r="CG36" s="401">
        <f t="shared" si="52"/>
        <v>0</v>
      </c>
      <c r="CH36" s="401">
        <f>CI36-$DH$36</f>
        <v>0</v>
      </c>
      <c r="CI36" s="402">
        <f>DD36</f>
        <v>0</v>
      </c>
      <c r="CJ36" s="401">
        <f t="shared" ref="CJ36:DA36" si="53">CK36-$DK$36</f>
        <v>23842.492427724777</v>
      </c>
      <c r="CK36" s="401">
        <f t="shared" si="53"/>
        <v>47684.984855449708</v>
      </c>
      <c r="CL36" s="401">
        <f t="shared" si="53"/>
        <v>71527.477283174638</v>
      </c>
      <c r="CM36" s="401">
        <f t="shared" si="53"/>
        <v>95369.969710899575</v>
      </c>
      <c r="CN36" s="401">
        <f t="shared" si="53"/>
        <v>119212.46213862451</v>
      </c>
      <c r="CO36" s="401">
        <f t="shared" si="53"/>
        <v>143054.95456634945</v>
      </c>
      <c r="CP36" s="401">
        <f t="shared" si="53"/>
        <v>166897.44699407439</v>
      </c>
      <c r="CQ36" s="401">
        <f t="shared" si="53"/>
        <v>190739.93942179932</v>
      </c>
      <c r="CR36" s="401">
        <f t="shared" si="53"/>
        <v>214582.43184952426</v>
      </c>
      <c r="CS36" s="401">
        <f t="shared" si="53"/>
        <v>238424.9242772492</v>
      </c>
      <c r="CT36" s="401">
        <f t="shared" si="53"/>
        <v>262267.41670497414</v>
      </c>
      <c r="CU36" s="401">
        <f t="shared" si="53"/>
        <v>286109.90913269907</v>
      </c>
      <c r="CV36" s="401">
        <f t="shared" si="53"/>
        <v>309952.40156042401</v>
      </c>
      <c r="CW36" s="401">
        <f>CX36-$DK$36</f>
        <v>333794.89398814895</v>
      </c>
      <c r="CX36" s="401">
        <f t="shared" si="53"/>
        <v>357637.38641587389</v>
      </c>
      <c r="CY36" s="401">
        <f t="shared" si="53"/>
        <v>381479.87884359882</v>
      </c>
      <c r="CZ36" s="401">
        <f t="shared" si="53"/>
        <v>405322.37127132376</v>
      </c>
      <c r="DA36" s="401">
        <f t="shared" si="53"/>
        <v>429164.8636990487</v>
      </c>
      <c r="DB36" s="401">
        <f>DC36-$DK$36</f>
        <v>453007.35612677364</v>
      </c>
      <c r="DC36" s="402">
        <f>DN36</f>
        <v>476849.84855449857</v>
      </c>
      <c r="DD36" s="401">
        <f>DE36*DG36/(H36*100)</f>
        <v>0</v>
      </c>
      <c r="DE36" s="401">
        <f>'Forest C-Storage Data'!H20+'Forest C-Storage Data'!H21</f>
        <v>476849.84855449852</v>
      </c>
      <c r="DF36" s="401">
        <f>DE36/($CI$1-$BY$1)</f>
        <v>47684.984855449853</v>
      </c>
      <c r="DG36" s="401">
        <f>C36*100</f>
        <v>0</v>
      </c>
      <c r="DH36" s="401">
        <f>DF36*DG36/(E36*100)</f>
        <v>0</v>
      </c>
      <c r="DI36" s="401"/>
      <c r="DJ36" s="401">
        <f>DN36-DD36</f>
        <v>476849.84855449857</v>
      </c>
      <c r="DK36" s="401">
        <f>(DC36-CI36)/($DC$1-$CI$1)</f>
        <v>23842.49242772493</v>
      </c>
      <c r="DL36" s="401">
        <f>'Forest C-Storage Data'!H20+'Forest C-Storage Data'!H21</f>
        <v>476849.84855449852</v>
      </c>
      <c r="DM36" s="403">
        <f>(I36)*100</f>
        <v>100</v>
      </c>
      <c r="DN36" s="486">
        <f>DL36*DM36/(H36*100)</f>
        <v>476849.84855449857</v>
      </c>
    </row>
    <row r="37" spans="2:118" s="297" customFormat="1" ht="20.25">
      <c r="B37" s="487"/>
      <c r="C37" s="488"/>
      <c r="D37" s="488"/>
      <c r="E37" s="488"/>
      <c r="F37" s="284"/>
      <c r="G37" s="489"/>
      <c r="H37" s="489"/>
      <c r="I37" s="489"/>
      <c r="J37" s="487"/>
      <c r="K37" s="399"/>
      <c r="W37" s="399"/>
      <c r="AA37" s="490"/>
      <c r="AB37" s="491"/>
      <c r="AC37" s="491"/>
      <c r="AD37" s="491"/>
      <c r="AE37" s="592"/>
      <c r="AF37" s="615"/>
      <c r="AG37" s="615"/>
      <c r="AH37" s="615"/>
      <c r="AI37" s="615"/>
      <c r="AJ37" s="615"/>
      <c r="AK37" s="615"/>
      <c r="AL37" s="615"/>
      <c r="AM37" s="615"/>
      <c r="AN37" s="615"/>
      <c r="AO37" s="592"/>
      <c r="AP37" s="615"/>
      <c r="AQ37" s="615"/>
      <c r="AR37" s="615"/>
      <c r="AS37" s="615"/>
      <c r="AT37" s="615"/>
      <c r="AU37" s="615"/>
      <c r="AV37" s="615"/>
      <c r="AW37" s="615"/>
      <c r="AX37" s="615"/>
      <c r="AY37" s="615"/>
      <c r="AZ37" s="615"/>
      <c r="BA37" s="615"/>
      <c r="BB37" s="615"/>
      <c r="BC37" s="615"/>
      <c r="BD37" s="615"/>
      <c r="BE37" s="615"/>
      <c r="BF37" s="615"/>
      <c r="BG37" s="615"/>
      <c r="BH37" s="615"/>
      <c r="BI37" s="592"/>
      <c r="BR37" s="301"/>
      <c r="BS37" s="301"/>
      <c r="BT37" s="301"/>
      <c r="BU37" s="392"/>
      <c r="BV37" s="401"/>
      <c r="BW37" s="401"/>
      <c r="BX37" s="401"/>
      <c r="BY37" s="402"/>
      <c r="BZ37" s="401"/>
      <c r="CA37" s="401"/>
      <c r="CB37" s="401"/>
      <c r="CC37" s="401"/>
      <c r="CD37" s="401"/>
      <c r="CE37" s="401"/>
      <c r="CF37" s="401"/>
      <c r="CG37" s="401"/>
      <c r="CH37" s="401"/>
      <c r="CI37" s="402"/>
      <c r="CJ37" s="401"/>
      <c r="CK37" s="401"/>
      <c r="CL37" s="401"/>
      <c r="CM37" s="401"/>
      <c r="CN37" s="401"/>
      <c r="CO37" s="401"/>
      <c r="CP37" s="401"/>
      <c r="CQ37" s="401"/>
      <c r="CR37" s="401"/>
      <c r="CS37" s="401"/>
      <c r="CT37" s="401"/>
      <c r="CU37" s="401"/>
      <c r="CV37" s="401"/>
      <c r="CW37" s="401"/>
      <c r="CX37" s="401"/>
      <c r="CY37" s="401"/>
      <c r="CZ37" s="401"/>
      <c r="DA37" s="401"/>
      <c r="DB37" s="401"/>
      <c r="DC37" s="402"/>
      <c r="DD37" s="401"/>
      <c r="DE37" s="401"/>
      <c r="DF37" s="401"/>
      <c r="DG37" s="401"/>
      <c r="DH37" s="401"/>
      <c r="DI37" s="401"/>
      <c r="DJ37" s="401"/>
      <c r="DK37" s="401"/>
      <c r="DL37" s="401"/>
      <c r="DM37" s="491"/>
      <c r="DN37" s="491"/>
    </row>
    <row r="38" spans="2:118" ht="23.25">
      <c r="B38" s="493" t="s">
        <v>258</v>
      </c>
      <c r="C38" s="285">
        <f>CI38</f>
        <v>4221072.4941362422</v>
      </c>
      <c r="D38" s="494">
        <v>0</v>
      </c>
      <c r="E38" s="494">
        <v>1</v>
      </c>
      <c r="F38" s="285">
        <f>DC38</f>
        <v>-22698.728240000084</v>
      </c>
      <c r="G38" s="494">
        <v>0</v>
      </c>
      <c r="H38" s="494">
        <v>1</v>
      </c>
      <c r="I38" s="494"/>
      <c r="J38" s="493" t="s">
        <v>297</v>
      </c>
      <c r="W38" s="490"/>
      <c r="AA38" s="490" t="str">
        <f>BU38</f>
        <v>Remaining GHGs</v>
      </c>
      <c r="AB38" s="490">
        <f t="shared" ref="AB38:BI41" si="54">BV38</f>
        <v>0</v>
      </c>
      <c r="AC38" s="490">
        <f t="shared" si="54"/>
        <v>0</v>
      </c>
      <c r="AD38" s="490">
        <f t="shared" si="54"/>
        <v>0</v>
      </c>
      <c r="AE38" s="576">
        <f>BY38</f>
        <v>8880193.8418855593</v>
      </c>
      <c r="AF38" s="600">
        <f t="shared" si="54"/>
        <v>8414281.7071106285</v>
      </c>
      <c r="AG38" s="600">
        <f t="shared" si="54"/>
        <v>7948369.5723356958</v>
      </c>
      <c r="AH38" s="600">
        <f t="shared" si="54"/>
        <v>7482457.4375607651</v>
      </c>
      <c r="AI38" s="600">
        <f t="shared" si="54"/>
        <v>7016545.3027858324</v>
      </c>
      <c r="AJ38" s="600">
        <f t="shared" si="54"/>
        <v>6550633.1680109007</v>
      </c>
      <c r="AK38" s="600">
        <f t="shared" si="54"/>
        <v>6084721.033235969</v>
      </c>
      <c r="AL38" s="600">
        <f t="shared" si="54"/>
        <v>5618808.8984610382</v>
      </c>
      <c r="AM38" s="600">
        <f t="shared" si="54"/>
        <v>5152896.7636861056</v>
      </c>
      <c r="AN38" s="600">
        <f t="shared" si="54"/>
        <v>4686984.6289111748</v>
      </c>
      <c r="AO38" s="576">
        <f>CI38</f>
        <v>4221072.4941362422</v>
      </c>
      <c r="AP38" s="600">
        <f t="shared" si="54"/>
        <v>4008883.9330174318</v>
      </c>
      <c r="AQ38" s="600">
        <f t="shared" si="54"/>
        <v>3796695.3718986185</v>
      </c>
      <c r="AR38" s="600">
        <f t="shared" si="54"/>
        <v>3584506.8107798062</v>
      </c>
      <c r="AS38" s="600">
        <f t="shared" si="54"/>
        <v>3372318.2496609939</v>
      </c>
      <c r="AT38" s="600">
        <f t="shared" si="54"/>
        <v>3160129.6885421816</v>
      </c>
      <c r="AU38" s="600">
        <f t="shared" si="54"/>
        <v>2947941.1274233703</v>
      </c>
      <c r="AV38" s="600">
        <f t="shared" si="54"/>
        <v>2735752.566304557</v>
      </c>
      <c r="AW38" s="600">
        <f t="shared" si="54"/>
        <v>2523564.0051857475</v>
      </c>
      <c r="AX38" s="600">
        <f t="shared" si="54"/>
        <v>2311375.4440669343</v>
      </c>
      <c r="AY38" s="600">
        <f t="shared" si="54"/>
        <v>2099186.8829481229</v>
      </c>
      <c r="AZ38" s="600">
        <f t="shared" si="54"/>
        <v>1886998.3218293106</v>
      </c>
      <c r="BA38" s="600">
        <f t="shared" si="54"/>
        <v>1674809.7607104983</v>
      </c>
      <c r="BB38" s="600">
        <f t="shared" si="54"/>
        <v>1462621.199591686</v>
      </c>
      <c r="BC38" s="600">
        <f t="shared" si="54"/>
        <v>1250432.6384728728</v>
      </c>
      <c r="BD38" s="600">
        <f t="shared" si="54"/>
        <v>1038244.0773540623</v>
      </c>
      <c r="BE38" s="600">
        <f t="shared" si="54"/>
        <v>826055.51623525005</v>
      </c>
      <c r="BF38" s="600">
        <f t="shared" si="54"/>
        <v>613866.95511643775</v>
      </c>
      <c r="BG38" s="600">
        <f t="shared" si="54"/>
        <v>401678.39399762452</v>
      </c>
      <c r="BH38" s="600">
        <f t="shared" si="54"/>
        <v>189489.83287881315</v>
      </c>
      <c r="BI38" s="576">
        <f>DC38</f>
        <v>-22698.728240000084</v>
      </c>
      <c r="BR38" s="301"/>
      <c r="BS38" s="301"/>
      <c r="BT38" s="301"/>
      <c r="BU38" s="392" t="s">
        <v>174</v>
      </c>
      <c r="BV38" s="302">
        <f t="shared" ref="BV38:DB38" si="55">BV4-(SUM(BV5:BV36))</f>
        <v>0</v>
      </c>
      <c r="BW38" s="302">
        <f t="shared" si="55"/>
        <v>0</v>
      </c>
      <c r="BX38" s="302">
        <f t="shared" si="55"/>
        <v>0</v>
      </c>
      <c r="BY38" s="303">
        <f t="shared" si="55"/>
        <v>8880193.8418855593</v>
      </c>
      <c r="BZ38" s="302">
        <f t="shared" si="55"/>
        <v>8414281.7071106285</v>
      </c>
      <c r="CA38" s="302">
        <f t="shared" si="55"/>
        <v>7948369.5723356958</v>
      </c>
      <c r="CB38" s="302">
        <f t="shared" si="55"/>
        <v>7482457.4375607651</v>
      </c>
      <c r="CC38" s="302">
        <f t="shared" si="55"/>
        <v>7016545.3027858324</v>
      </c>
      <c r="CD38" s="302">
        <f t="shared" si="55"/>
        <v>6550633.1680109007</v>
      </c>
      <c r="CE38" s="302">
        <f t="shared" si="55"/>
        <v>6084721.033235969</v>
      </c>
      <c r="CF38" s="302">
        <f t="shared" si="55"/>
        <v>5618808.8984610382</v>
      </c>
      <c r="CG38" s="302">
        <f t="shared" si="55"/>
        <v>5152896.7636861056</v>
      </c>
      <c r="CH38" s="302">
        <f t="shared" si="55"/>
        <v>4686984.6289111748</v>
      </c>
      <c r="CI38" s="303">
        <f t="shared" si="55"/>
        <v>4221072.4941362422</v>
      </c>
      <c r="CJ38" s="302">
        <f t="shared" si="55"/>
        <v>4008883.9330174318</v>
      </c>
      <c r="CK38" s="302">
        <f t="shared" si="55"/>
        <v>3796695.3718986185</v>
      </c>
      <c r="CL38" s="302">
        <f t="shared" si="55"/>
        <v>3584506.8107798062</v>
      </c>
      <c r="CM38" s="302">
        <f t="shared" si="55"/>
        <v>3372318.2496609939</v>
      </c>
      <c r="CN38" s="302">
        <f t="shared" si="55"/>
        <v>3160129.6885421816</v>
      </c>
      <c r="CO38" s="302">
        <f t="shared" si="55"/>
        <v>2947941.1274233703</v>
      </c>
      <c r="CP38" s="302">
        <f t="shared" si="55"/>
        <v>2735752.566304557</v>
      </c>
      <c r="CQ38" s="302">
        <f t="shared" si="55"/>
        <v>2523564.0051857475</v>
      </c>
      <c r="CR38" s="302">
        <f t="shared" si="55"/>
        <v>2311375.4440669343</v>
      </c>
      <c r="CS38" s="302">
        <f t="shared" si="55"/>
        <v>2099186.8829481229</v>
      </c>
      <c r="CT38" s="302">
        <f t="shared" si="55"/>
        <v>1886998.3218293106</v>
      </c>
      <c r="CU38" s="302">
        <f t="shared" si="55"/>
        <v>1674809.7607104983</v>
      </c>
      <c r="CV38" s="302">
        <f t="shared" si="55"/>
        <v>1462621.199591686</v>
      </c>
      <c r="CW38" s="302">
        <f t="shared" si="55"/>
        <v>1250432.6384728728</v>
      </c>
      <c r="CX38" s="302">
        <f t="shared" si="55"/>
        <v>1038244.0773540623</v>
      </c>
      <c r="CY38" s="302">
        <f t="shared" si="55"/>
        <v>826055.51623525005</v>
      </c>
      <c r="CZ38" s="302">
        <f t="shared" si="55"/>
        <v>613866.95511643775</v>
      </c>
      <c r="DA38" s="302">
        <f t="shared" si="55"/>
        <v>401678.39399762452</v>
      </c>
      <c r="DB38" s="302">
        <f t="shared" si="55"/>
        <v>189489.83287881315</v>
      </c>
      <c r="DC38" s="303">
        <f>DC4-(SUM(DC5:DC36))</f>
        <v>-22698.728240000084</v>
      </c>
      <c r="DD38" s="301"/>
      <c r="DE38" s="301"/>
      <c r="DF38" s="301"/>
      <c r="DG38" s="301"/>
      <c r="DH38" s="301"/>
      <c r="DI38" s="301"/>
      <c r="DJ38" s="301"/>
      <c r="DK38" s="301"/>
      <c r="DL38" s="301"/>
      <c r="DN38" s="300"/>
    </row>
    <row r="39" spans="2:118" ht="23.25">
      <c r="B39" s="495" t="s">
        <v>349</v>
      </c>
      <c r="C39" s="286">
        <f>CI41</f>
        <v>0.59889586036619347</v>
      </c>
      <c r="D39" s="494"/>
      <c r="E39" s="494"/>
      <c r="F39" s="286">
        <f>DC41</f>
        <v>1.0021569290444867</v>
      </c>
      <c r="G39" s="494"/>
      <c r="H39" s="494"/>
      <c r="I39" s="496"/>
      <c r="J39" s="495" t="s">
        <v>347</v>
      </c>
      <c r="W39" s="490"/>
      <c r="AA39" s="490" t="str">
        <f t="shared" ref="AA39:AA41" si="56">BU39</f>
        <v>Net-zero goal (w/2030 50% milestone)</v>
      </c>
      <c r="AB39" s="300"/>
      <c r="AC39" s="300"/>
      <c r="AD39" s="300"/>
      <c r="AE39" s="593">
        <f t="shared" si="54"/>
        <v>8880193.8418855593</v>
      </c>
      <c r="AF39" s="600">
        <f t="shared" si="54"/>
        <v>8518356.0745197479</v>
      </c>
      <c r="AG39" s="600">
        <f t="shared" si="54"/>
        <v>8156518.3071539365</v>
      </c>
      <c r="AH39" s="600">
        <f t="shared" si="54"/>
        <v>7794680.5397881251</v>
      </c>
      <c r="AI39" s="600">
        <f t="shared" si="54"/>
        <v>7432842.7724223137</v>
      </c>
      <c r="AJ39" s="600">
        <f t="shared" si="54"/>
        <v>7071005.0050565023</v>
      </c>
      <c r="AK39" s="600">
        <f t="shared" si="54"/>
        <v>6709167.2376906909</v>
      </c>
      <c r="AL39" s="600">
        <f t="shared" si="54"/>
        <v>6347329.4703248795</v>
      </c>
      <c r="AM39" s="600">
        <f t="shared" si="54"/>
        <v>5985491.7029590681</v>
      </c>
      <c r="AN39" s="600">
        <f t="shared" si="54"/>
        <v>5623653.9355932567</v>
      </c>
      <c r="AO39" s="593">
        <f t="shared" si="54"/>
        <v>5261816.1682274425</v>
      </c>
      <c r="AP39" s="616">
        <f t="shared" si="54"/>
        <v>4998725.3598160706</v>
      </c>
      <c r="AQ39" s="616">
        <f t="shared" si="54"/>
        <v>4735634.5514046988</v>
      </c>
      <c r="AR39" s="616">
        <f t="shared" si="54"/>
        <v>4472543.7429933269</v>
      </c>
      <c r="AS39" s="616">
        <f t="shared" si="54"/>
        <v>4209452.934581955</v>
      </c>
      <c r="AT39" s="616">
        <f t="shared" si="54"/>
        <v>3946362.1261705831</v>
      </c>
      <c r="AU39" s="616">
        <f t="shared" si="54"/>
        <v>3683271.3177592112</v>
      </c>
      <c r="AV39" s="616">
        <f t="shared" si="54"/>
        <v>3420180.5093478393</v>
      </c>
      <c r="AW39" s="616">
        <f t="shared" si="54"/>
        <v>3157089.7009364674</v>
      </c>
      <c r="AX39" s="616">
        <f t="shared" si="54"/>
        <v>2893998.8925250955</v>
      </c>
      <c r="AY39" s="616">
        <f t="shared" si="54"/>
        <v>2630908.0841137236</v>
      </c>
      <c r="AZ39" s="616">
        <f t="shared" si="54"/>
        <v>2367817.2757023517</v>
      </c>
      <c r="BA39" s="616">
        <f t="shared" si="54"/>
        <v>2104726.4672909798</v>
      </c>
      <c r="BB39" s="616">
        <f t="shared" si="54"/>
        <v>1841635.6588796077</v>
      </c>
      <c r="BC39" s="616">
        <f t="shared" si="54"/>
        <v>1578544.8504682356</v>
      </c>
      <c r="BD39" s="616">
        <f t="shared" si="54"/>
        <v>1315454.0420568634</v>
      </c>
      <c r="BE39" s="616">
        <f t="shared" si="54"/>
        <v>1052363.2336454913</v>
      </c>
      <c r="BF39" s="616">
        <f t="shared" si="54"/>
        <v>789272.42523411918</v>
      </c>
      <c r="BG39" s="616">
        <f t="shared" si="54"/>
        <v>526181.61682274705</v>
      </c>
      <c r="BH39" s="616">
        <f t="shared" si="54"/>
        <v>263090.80841137492</v>
      </c>
      <c r="BI39" s="593">
        <f t="shared" si="54"/>
        <v>0</v>
      </c>
      <c r="BR39" s="301"/>
      <c r="BS39" s="301"/>
      <c r="BT39" s="301"/>
      <c r="BU39" s="392" t="s">
        <v>246</v>
      </c>
      <c r="BV39" s="302"/>
      <c r="BW39" s="302"/>
      <c r="BX39" s="302"/>
      <c r="BY39" s="303">
        <f>BY4</f>
        <v>8880193.8418855593</v>
      </c>
      <c r="BZ39" s="302">
        <f t="shared" ref="BZ39:CH39" si="57">BY39-$CI$40</f>
        <v>8518356.0745197479</v>
      </c>
      <c r="CA39" s="302">
        <f t="shared" si="57"/>
        <v>8156518.3071539365</v>
      </c>
      <c r="CB39" s="302">
        <f t="shared" si="57"/>
        <v>7794680.5397881251</v>
      </c>
      <c r="CC39" s="302">
        <f t="shared" si="57"/>
        <v>7432842.7724223137</v>
      </c>
      <c r="CD39" s="302">
        <f t="shared" si="57"/>
        <v>7071005.0050565023</v>
      </c>
      <c r="CE39" s="302">
        <f t="shared" si="57"/>
        <v>6709167.2376906909</v>
      </c>
      <c r="CF39" s="302">
        <f t="shared" si="57"/>
        <v>6347329.4703248795</v>
      </c>
      <c r="CG39" s="302">
        <f t="shared" si="57"/>
        <v>5985491.7029590681</v>
      </c>
      <c r="CH39" s="302">
        <f t="shared" si="57"/>
        <v>5623653.9355932567</v>
      </c>
      <c r="CI39" s="303">
        <f>'2030 Goal Calculation'!B35</f>
        <v>5261816.1682274425</v>
      </c>
      <c r="CJ39" s="497">
        <f>CI39-$DC$40</f>
        <v>4998725.3598160706</v>
      </c>
      <c r="CK39" s="497">
        <f t="shared" ref="CK39:DB39" si="58">CJ39-$DC$40</f>
        <v>4735634.5514046988</v>
      </c>
      <c r="CL39" s="497">
        <f t="shared" si="58"/>
        <v>4472543.7429933269</v>
      </c>
      <c r="CM39" s="497">
        <f t="shared" si="58"/>
        <v>4209452.934581955</v>
      </c>
      <c r="CN39" s="497">
        <f t="shared" si="58"/>
        <v>3946362.1261705831</v>
      </c>
      <c r="CO39" s="497">
        <f t="shared" si="58"/>
        <v>3683271.3177592112</v>
      </c>
      <c r="CP39" s="497">
        <f t="shared" si="58"/>
        <v>3420180.5093478393</v>
      </c>
      <c r="CQ39" s="497">
        <f t="shared" si="58"/>
        <v>3157089.7009364674</v>
      </c>
      <c r="CR39" s="497">
        <f t="shared" si="58"/>
        <v>2893998.8925250955</v>
      </c>
      <c r="CS39" s="497">
        <f t="shared" si="58"/>
        <v>2630908.0841137236</v>
      </c>
      <c r="CT39" s="497">
        <f t="shared" si="58"/>
        <v>2367817.2757023517</v>
      </c>
      <c r="CU39" s="497">
        <f t="shared" si="58"/>
        <v>2104726.4672909798</v>
      </c>
      <c r="CV39" s="497">
        <f t="shared" si="58"/>
        <v>1841635.6588796077</v>
      </c>
      <c r="CW39" s="497">
        <f t="shared" si="58"/>
        <v>1578544.8504682356</v>
      </c>
      <c r="CX39" s="497">
        <f>CW39-$DC$40</f>
        <v>1315454.0420568634</v>
      </c>
      <c r="CY39" s="497">
        <f t="shared" si="58"/>
        <v>1052363.2336454913</v>
      </c>
      <c r="CZ39" s="497">
        <f t="shared" si="58"/>
        <v>789272.42523411918</v>
      </c>
      <c r="DA39" s="497">
        <f t="shared" si="58"/>
        <v>526181.61682274705</v>
      </c>
      <c r="DB39" s="497">
        <f t="shared" si="58"/>
        <v>263090.80841137492</v>
      </c>
      <c r="DC39" s="303">
        <v>0</v>
      </c>
      <c r="DD39" s="301"/>
      <c r="DE39" s="301"/>
      <c r="DF39" s="301"/>
      <c r="DG39" s="301"/>
      <c r="DH39" s="301"/>
      <c r="DI39" s="301"/>
      <c r="DJ39" s="301"/>
      <c r="DK39" s="301"/>
      <c r="DL39" s="301"/>
    </row>
    <row r="40" spans="2:118" ht="20.25">
      <c r="B40" s="498"/>
      <c r="C40" s="287"/>
      <c r="D40" s="499"/>
      <c r="E40" s="499"/>
      <c r="F40" s="287"/>
      <c r="G40" s="499"/>
      <c r="H40" s="499"/>
      <c r="I40" s="488"/>
      <c r="J40" s="498"/>
      <c r="W40" s="490"/>
      <c r="AA40" s="490" t="str">
        <f t="shared" si="56"/>
        <v>Average Annual Reduction</v>
      </c>
      <c r="AE40" s="594">
        <f t="shared" si="54"/>
        <v>0</v>
      </c>
      <c r="AF40" s="298">
        <f t="shared" si="54"/>
        <v>0</v>
      </c>
      <c r="AG40" s="298">
        <f t="shared" si="54"/>
        <v>0</v>
      </c>
      <c r="AH40" s="298">
        <f t="shared" si="54"/>
        <v>0</v>
      </c>
      <c r="AI40" s="298">
        <f t="shared" si="54"/>
        <v>0</v>
      </c>
      <c r="AJ40" s="298">
        <f t="shared" si="54"/>
        <v>0</v>
      </c>
      <c r="AK40" s="298">
        <f t="shared" si="54"/>
        <v>0</v>
      </c>
      <c r="AL40" s="298">
        <f t="shared" si="54"/>
        <v>0</v>
      </c>
      <c r="AM40" s="298">
        <f t="shared" si="54"/>
        <v>0</v>
      </c>
      <c r="AN40" s="298">
        <f t="shared" si="54"/>
        <v>0</v>
      </c>
      <c r="AO40" s="594">
        <f t="shared" si="54"/>
        <v>361837.76736581168</v>
      </c>
      <c r="AP40" s="298">
        <f t="shared" si="54"/>
        <v>0</v>
      </c>
      <c r="AQ40" s="298">
        <f t="shared" si="54"/>
        <v>0</v>
      </c>
      <c r="AR40" s="298">
        <f t="shared" si="54"/>
        <v>0</v>
      </c>
      <c r="AS40" s="298">
        <f t="shared" si="54"/>
        <v>0</v>
      </c>
      <c r="AT40" s="298">
        <f t="shared" si="54"/>
        <v>0</v>
      </c>
      <c r="AU40" s="298">
        <f t="shared" si="54"/>
        <v>0</v>
      </c>
      <c r="AV40" s="298">
        <f t="shared" si="54"/>
        <v>0</v>
      </c>
      <c r="AW40" s="298">
        <f t="shared" si="54"/>
        <v>0</v>
      </c>
      <c r="AX40" s="298">
        <f t="shared" si="54"/>
        <v>0</v>
      </c>
      <c r="AY40" s="298">
        <f t="shared" si="54"/>
        <v>0</v>
      </c>
      <c r="AZ40" s="298">
        <f t="shared" si="54"/>
        <v>0</v>
      </c>
      <c r="BA40" s="298">
        <f t="shared" si="54"/>
        <v>0</v>
      </c>
      <c r="BB40" s="298">
        <f t="shared" si="54"/>
        <v>0</v>
      </c>
      <c r="BC40" s="298">
        <f t="shared" si="54"/>
        <v>0</v>
      </c>
      <c r="BD40" s="298">
        <f t="shared" si="54"/>
        <v>0</v>
      </c>
      <c r="BE40" s="298">
        <f t="shared" si="54"/>
        <v>0</v>
      </c>
      <c r="BF40" s="298">
        <f t="shared" si="54"/>
        <v>0</v>
      </c>
      <c r="BG40" s="298">
        <f t="shared" si="54"/>
        <v>0</v>
      </c>
      <c r="BH40" s="298">
        <f t="shared" si="54"/>
        <v>0</v>
      </c>
      <c r="BI40" s="594">
        <f t="shared" si="54"/>
        <v>263090.80841137213</v>
      </c>
      <c r="BR40" s="301"/>
      <c r="BS40" s="301"/>
      <c r="BT40" s="301"/>
      <c r="BU40" s="392" t="s">
        <v>175</v>
      </c>
      <c r="BV40" s="301"/>
      <c r="BW40" s="301"/>
      <c r="BX40" s="301"/>
      <c r="BY40" s="573"/>
      <c r="BZ40" s="301"/>
      <c r="CA40" s="301"/>
      <c r="CB40" s="301"/>
      <c r="CC40" s="301"/>
      <c r="CD40" s="301"/>
      <c r="CE40" s="301"/>
      <c r="CF40" s="301"/>
      <c r="CG40" s="301"/>
      <c r="CH40" s="301"/>
      <c r="CI40" s="573">
        <f>(BY39-CI39)/(CI1-BY1)</f>
        <v>361837.76736581168</v>
      </c>
      <c r="CJ40" s="301"/>
      <c r="CK40" s="301"/>
      <c r="CL40" s="301"/>
      <c r="CM40" s="301"/>
      <c r="CN40" s="301"/>
      <c r="CO40" s="301"/>
      <c r="CP40" s="301"/>
      <c r="CQ40" s="301"/>
      <c r="CR40" s="301"/>
      <c r="CS40" s="301"/>
      <c r="CT40" s="301"/>
      <c r="CU40" s="301"/>
      <c r="CV40" s="301"/>
      <c r="CW40" s="301"/>
      <c r="CX40" s="301"/>
      <c r="CY40" s="301"/>
      <c r="CZ40" s="301"/>
      <c r="DA40" s="301"/>
      <c r="DB40" s="301"/>
      <c r="DC40" s="573">
        <f>(CI39-DC39)/(DC1-CI1)</f>
        <v>263090.80841137213</v>
      </c>
      <c r="DD40" s="301"/>
      <c r="DE40" s="301"/>
      <c r="DF40" s="301"/>
      <c r="DG40" s="301"/>
      <c r="DH40" s="301"/>
      <c r="DI40" s="301"/>
      <c r="DJ40" s="301"/>
      <c r="DK40" s="301"/>
      <c r="DL40" s="301"/>
    </row>
    <row r="41" spans="2:118" ht="20.25">
      <c r="B41" s="498"/>
      <c r="C41" s="287"/>
      <c r="D41" s="499"/>
      <c r="E41" s="499"/>
      <c r="F41" s="287"/>
      <c r="G41" s="499"/>
      <c r="H41" s="499"/>
      <c r="I41" s="488"/>
      <c r="J41" s="498"/>
      <c r="T41" s="274" t="s">
        <v>39</v>
      </c>
      <c r="W41" s="490"/>
      <c r="AA41" s="490" t="str">
        <f t="shared" si="56"/>
        <v>% Reduction from Baseline</v>
      </c>
      <c r="AB41" s="501"/>
      <c r="AC41" s="501"/>
      <c r="AD41" s="501"/>
      <c r="AE41" s="595">
        <f>BY41</f>
        <v>0.15616646819523472</v>
      </c>
      <c r="AF41" s="617">
        <f>BZ41</f>
        <v>0.20043940741233057</v>
      </c>
      <c r="AG41" s="617">
        <f t="shared" si="54"/>
        <v>0.24471234662942654</v>
      </c>
      <c r="AH41" s="617">
        <f t="shared" si="54"/>
        <v>0.28898528584652228</v>
      </c>
      <c r="AI41" s="617">
        <f t="shared" si="54"/>
        <v>0.33325822506361824</v>
      </c>
      <c r="AJ41" s="617">
        <f t="shared" si="54"/>
        <v>0.37753116428071409</v>
      </c>
      <c r="AK41" s="617">
        <f t="shared" si="54"/>
        <v>0.42180410349780995</v>
      </c>
      <c r="AL41" s="617">
        <f t="shared" si="54"/>
        <v>0.4660770427149058</v>
      </c>
      <c r="AM41" s="617">
        <f t="shared" si="54"/>
        <v>0.51034998193200165</v>
      </c>
      <c r="AN41" s="617">
        <f t="shared" si="54"/>
        <v>0.5546229211490975</v>
      </c>
      <c r="AO41" s="595">
        <f>CI41</f>
        <v>0.59889586036619347</v>
      </c>
      <c r="AP41" s="617">
        <f t="shared" si="54"/>
        <v>0.61905891380010791</v>
      </c>
      <c r="AQ41" s="617">
        <f t="shared" si="54"/>
        <v>0.63922196723402269</v>
      </c>
      <c r="AR41" s="617">
        <f t="shared" si="54"/>
        <v>0.65938502066793747</v>
      </c>
      <c r="AS41" s="617">
        <f t="shared" si="54"/>
        <v>0.67954807410185203</v>
      </c>
      <c r="AT41" s="617">
        <f t="shared" si="54"/>
        <v>0.69971112753576681</v>
      </c>
      <c r="AU41" s="617">
        <f t="shared" si="54"/>
        <v>0.71987418096968137</v>
      </c>
      <c r="AV41" s="617">
        <f t="shared" si="54"/>
        <v>0.74003723440359614</v>
      </c>
      <c r="AW41" s="617">
        <f t="shared" si="54"/>
        <v>0.76020028783751059</v>
      </c>
      <c r="AX41" s="617">
        <f t="shared" si="54"/>
        <v>0.78036334127142537</v>
      </c>
      <c r="AY41" s="617">
        <f t="shared" si="54"/>
        <v>0.80052639470533993</v>
      </c>
      <c r="AZ41" s="617">
        <f t="shared" si="54"/>
        <v>0.8206894481392546</v>
      </c>
      <c r="BA41" s="617">
        <f t="shared" si="54"/>
        <v>0.84085250157316938</v>
      </c>
      <c r="BB41" s="617">
        <f t="shared" si="54"/>
        <v>0.86101555500708404</v>
      </c>
      <c r="BC41" s="617">
        <f t="shared" si="54"/>
        <v>0.88117860844099882</v>
      </c>
      <c r="BD41" s="617">
        <f t="shared" si="54"/>
        <v>0.90134166187491327</v>
      </c>
      <c r="BE41" s="617">
        <f t="shared" si="54"/>
        <v>0.92150471530882794</v>
      </c>
      <c r="BF41" s="617">
        <f t="shared" si="54"/>
        <v>0.94166776874274261</v>
      </c>
      <c r="BG41" s="617">
        <f t="shared" si="54"/>
        <v>0.96183082217665739</v>
      </c>
      <c r="BH41" s="617">
        <f t="shared" si="54"/>
        <v>0.98199387561057205</v>
      </c>
      <c r="BI41" s="595">
        <f t="shared" si="54"/>
        <v>1.0021569290444867</v>
      </c>
      <c r="BR41" s="301"/>
      <c r="BS41" s="301"/>
      <c r="BT41" s="301"/>
      <c r="BU41" s="392" t="s">
        <v>281</v>
      </c>
      <c r="BV41" s="503" t="e">
        <f>1-(BV38/BV4)</f>
        <v>#DIV/0!</v>
      </c>
      <c r="BW41" s="503" t="e">
        <f>1-(BW38/BW4)</f>
        <v>#DIV/0!</v>
      </c>
      <c r="BX41" s="503" t="e">
        <f>1-(BX38/BX4)</f>
        <v>#DIV/0!</v>
      </c>
      <c r="BY41" s="571">
        <f t="shared" ref="BY41:DC41" si="59">1-(BY38/BY3)</f>
        <v>0.15616646819523472</v>
      </c>
      <c r="BZ41" s="503">
        <f t="shared" si="59"/>
        <v>0.20043940741233057</v>
      </c>
      <c r="CA41" s="503">
        <f t="shared" si="59"/>
        <v>0.24471234662942654</v>
      </c>
      <c r="CB41" s="503">
        <f t="shared" si="59"/>
        <v>0.28898528584652228</v>
      </c>
      <c r="CC41" s="503">
        <f t="shared" si="59"/>
        <v>0.33325822506361824</v>
      </c>
      <c r="CD41" s="503">
        <f t="shared" si="59"/>
        <v>0.37753116428071409</v>
      </c>
      <c r="CE41" s="503">
        <f t="shared" si="59"/>
        <v>0.42180410349780995</v>
      </c>
      <c r="CF41" s="503">
        <f t="shared" si="59"/>
        <v>0.4660770427149058</v>
      </c>
      <c r="CG41" s="503">
        <f t="shared" si="59"/>
        <v>0.51034998193200165</v>
      </c>
      <c r="CH41" s="503">
        <f t="shared" si="59"/>
        <v>0.5546229211490975</v>
      </c>
      <c r="CI41" s="571">
        <f>1-(CI38/CI3)</f>
        <v>0.59889586036619347</v>
      </c>
      <c r="CJ41" s="503">
        <f t="shared" si="59"/>
        <v>0.61905891380010791</v>
      </c>
      <c r="CK41" s="503">
        <f t="shared" si="59"/>
        <v>0.63922196723402269</v>
      </c>
      <c r="CL41" s="503">
        <f t="shared" si="59"/>
        <v>0.65938502066793747</v>
      </c>
      <c r="CM41" s="503">
        <f t="shared" si="59"/>
        <v>0.67954807410185203</v>
      </c>
      <c r="CN41" s="503">
        <f t="shared" si="59"/>
        <v>0.69971112753576681</v>
      </c>
      <c r="CO41" s="503">
        <f t="shared" si="59"/>
        <v>0.71987418096968137</v>
      </c>
      <c r="CP41" s="503">
        <f t="shared" si="59"/>
        <v>0.74003723440359614</v>
      </c>
      <c r="CQ41" s="503">
        <f t="shared" si="59"/>
        <v>0.76020028783751059</v>
      </c>
      <c r="CR41" s="503">
        <f t="shared" si="59"/>
        <v>0.78036334127142537</v>
      </c>
      <c r="CS41" s="503">
        <f t="shared" si="59"/>
        <v>0.80052639470533993</v>
      </c>
      <c r="CT41" s="503">
        <f t="shared" si="59"/>
        <v>0.8206894481392546</v>
      </c>
      <c r="CU41" s="503">
        <f t="shared" si="59"/>
        <v>0.84085250157316938</v>
      </c>
      <c r="CV41" s="503">
        <f t="shared" si="59"/>
        <v>0.86101555500708404</v>
      </c>
      <c r="CW41" s="503">
        <f t="shared" si="59"/>
        <v>0.88117860844099882</v>
      </c>
      <c r="CX41" s="503">
        <f t="shared" si="59"/>
        <v>0.90134166187491327</v>
      </c>
      <c r="CY41" s="503">
        <f t="shared" si="59"/>
        <v>0.92150471530882794</v>
      </c>
      <c r="CZ41" s="503">
        <f t="shared" si="59"/>
        <v>0.94166776874274261</v>
      </c>
      <c r="DA41" s="503">
        <f t="shared" si="59"/>
        <v>0.96183082217665739</v>
      </c>
      <c r="DB41" s="503">
        <f t="shared" si="59"/>
        <v>0.98199387561057205</v>
      </c>
      <c r="DC41" s="571">
        <f t="shared" si="59"/>
        <v>1.0021569290444867</v>
      </c>
      <c r="DD41" s="301"/>
      <c r="DE41" s="301"/>
      <c r="DF41" s="301"/>
      <c r="DG41" s="301"/>
      <c r="DH41" s="301"/>
      <c r="DI41" s="301"/>
      <c r="DJ41" s="301"/>
      <c r="DK41" s="301"/>
      <c r="DL41" s="301"/>
    </row>
    <row r="42" spans="2:118" ht="33" customHeight="1">
      <c r="B42" s="261" t="s">
        <v>487</v>
      </c>
      <c r="C42" s="262" t="s">
        <v>279</v>
      </c>
      <c r="D42" s="288"/>
      <c r="E42" s="288"/>
      <c r="F42" s="504"/>
      <c r="G42" s="297"/>
      <c r="H42" s="288"/>
      <c r="I42" s="289"/>
      <c r="J42" s="505"/>
      <c r="W42" s="490"/>
      <c r="AA42" s="298" t="s">
        <v>477</v>
      </c>
      <c r="AB42" s="501"/>
      <c r="AC42" s="501"/>
      <c r="AD42" s="501"/>
      <c r="AE42" s="594">
        <f>'2030 Goal Calculation'!$C$34</f>
        <v>12357207.500823217</v>
      </c>
      <c r="AF42" s="604">
        <f>'2030 Goal Calculation'!$C$34</f>
        <v>12357207.500823217</v>
      </c>
      <c r="AG42" s="604">
        <f>'2030 Goal Calculation'!$C$34</f>
        <v>12357207.500823217</v>
      </c>
      <c r="AH42" s="604">
        <f>'2030 Goal Calculation'!$C$34</f>
        <v>12357207.500823217</v>
      </c>
      <c r="AI42" s="604">
        <f>'2030 Goal Calculation'!$C$34</f>
        <v>12357207.500823217</v>
      </c>
      <c r="AJ42" s="604">
        <f>'2030 Goal Calculation'!$C$34</f>
        <v>12357207.500823217</v>
      </c>
      <c r="AK42" s="604">
        <f>'2030 Goal Calculation'!$C$34</f>
        <v>12357207.500823217</v>
      </c>
      <c r="AL42" s="604">
        <f>'2030 Goal Calculation'!$C$34</f>
        <v>12357207.500823217</v>
      </c>
      <c r="AM42" s="604">
        <f>'2030 Goal Calculation'!$C$34</f>
        <v>12357207.500823217</v>
      </c>
      <c r="AN42" s="604">
        <f>'2030 Goal Calculation'!$C$34</f>
        <v>12357207.500823217</v>
      </c>
      <c r="AO42" s="594">
        <f>'2030 Goal Calculation'!$C$34</f>
        <v>12357207.500823217</v>
      </c>
      <c r="AP42" s="604">
        <f>'2030 Goal Calculation'!$C$34</f>
        <v>12357207.500823217</v>
      </c>
      <c r="AQ42" s="604">
        <f>'2030 Goal Calculation'!$C$34</f>
        <v>12357207.500823217</v>
      </c>
      <c r="AR42" s="604">
        <f>'2030 Goal Calculation'!$C$34</f>
        <v>12357207.500823217</v>
      </c>
      <c r="AS42" s="604">
        <f>'2030 Goal Calculation'!$C$34</f>
        <v>12357207.500823217</v>
      </c>
      <c r="AT42" s="604">
        <f>'2030 Goal Calculation'!$C$34</f>
        <v>12357207.500823217</v>
      </c>
      <c r="AU42" s="604">
        <f>'2030 Goal Calculation'!$C$34</f>
        <v>12357207.500823217</v>
      </c>
      <c r="AV42" s="604">
        <f>'2030 Goal Calculation'!$C$34</f>
        <v>12357207.500823217</v>
      </c>
      <c r="AW42" s="604">
        <f>'2030 Goal Calculation'!$C$34</f>
        <v>12357207.500823217</v>
      </c>
      <c r="AX42" s="604">
        <f>'2030 Goal Calculation'!$C$34</f>
        <v>12357207.500823217</v>
      </c>
      <c r="AY42" s="604">
        <f>'2030 Goal Calculation'!$C$34</f>
        <v>12357207.500823217</v>
      </c>
      <c r="AZ42" s="604">
        <f>'2030 Goal Calculation'!$C$34</f>
        <v>12357207.500823217</v>
      </c>
      <c r="BA42" s="604">
        <f>'2030 Goal Calculation'!$C$34</f>
        <v>12357207.500823217</v>
      </c>
      <c r="BB42" s="604">
        <f>'2030 Goal Calculation'!$C$34</f>
        <v>12357207.500823217</v>
      </c>
      <c r="BC42" s="604">
        <f>'2030 Goal Calculation'!$C$34</f>
        <v>12357207.500823217</v>
      </c>
      <c r="BD42" s="604">
        <f>'2030 Goal Calculation'!$C$34</f>
        <v>12357207.500823217</v>
      </c>
      <c r="BE42" s="604">
        <f>'2030 Goal Calculation'!$C$34</f>
        <v>12357207.500823217</v>
      </c>
      <c r="BF42" s="604">
        <f>'2030 Goal Calculation'!$C$34</f>
        <v>12357207.500823217</v>
      </c>
      <c r="BG42" s="604">
        <f>'2030 Goal Calculation'!$C$34</f>
        <v>12357207.500823217</v>
      </c>
      <c r="BH42" s="604">
        <f>'2030 Goal Calculation'!$C$34</f>
        <v>12357207.500823217</v>
      </c>
      <c r="BI42" s="594">
        <f>'2030 Goal Calculation'!$C$34</f>
        <v>12357207.500823217</v>
      </c>
      <c r="BU42" s="298" t="s">
        <v>477</v>
      </c>
      <c r="BV42" s="501"/>
      <c r="BW42" s="501"/>
      <c r="BX42" s="501"/>
      <c r="BY42" s="500">
        <v>12357207.500823217</v>
      </c>
      <c r="BZ42" s="428">
        <v>12357207.500823217</v>
      </c>
      <c r="CA42" s="428">
        <v>12357207.500823217</v>
      </c>
      <c r="CB42" s="428">
        <v>12357207.500823217</v>
      </c>
      <c r="CC42" s="428">
        <v>12357207.500823217</v>
      </c>
      <c r="CD42" s="428">
        <v>12357207.500823217</v>
      </c>
      <c r="CE42" s="428">
        <v>12357207.500823217</v>
      </c>
      <c r="CF42" s="428">
        <v>12357207.500823217</v>
      </c>
      <c r="CG42" s="428">
        <v>12357207.500823217</v>
      </c>
      <c r="CH42" s="428">
        <v>12357207.500823217</v>
      </c>
      <c r="CI42" s="500">
        <v>12357207.500823217</v>
      </c>
      <c r="CJ42" s="428">
        <v>12357207.500823217</v>
      </c>
      <c r="CK42" s="428">
        <v>12357207.500823217</v>
      </c>
      <c r="CL42" s="428">
        <v>12357207.500823217</v>
      </c>
      <c r="CM42" s="428">
        <v>12357207.500823217</v>
      </c>
      <c r="CN42" s="428">
        <v>12357207.500823217</v>
      </c>
      <c r="CO42" s="428">
        <v>12357207.500823217</v>
      </c>
      <c r="CP42" s="428">
        <v>12357207.500823217</v>
      </c>
      <c r="CQ42" s="428">
        <v>12357207.500823217</v>
      </c>
      <c r="CR42" s="428">
        <v>12357207.500823217</v>
      </c>
      <c r="CS42" s="428">
        <v>12357207.500823217</v>
      </c>
      <c r="CT42" s="428">
        <v>12357207.500823217</v>
      </c>
      <c r="CU42" s="428">
        <v>12357207.500823217</v>
      </c>
      <c r="CV42" s="428">
        <v>12357207.500823217</v>
      </c>
      <c r="CW42" s="428">
        <v>12357207.500823217</v>
      </c>
      <c r="CX42" s="428">
        <v>12357207.500823217</v>
      </c>
      <c r="CY42" s="428">
        <v>12357207.500823217</v>
      </c>
      <c r="CZ42" s="428">
        <v>12357207.500823217</v>
      </c>
      <c r="DA42" s="428">
        <v>12357207.500823217</v>
      </c>
      <c r="DB42" s="428">
        <v>12357207.500823217</v>
      </c>
      <c r="DC42" s="500">
        <v>12357207.500823217</v>
      </c>
    </row>
    <row r="43" spans="2:118" ht="45.95" customHeight="1">
      <c r="B43" s="275" t="s">
        <v>282</v>
      </c>
      <c r="C43" s="276" t="s">
        <v>248</v>
      </c>
      <c r="D43" s="275"/>
      <c r="E43" s="275"/>
      <c r="F43" s="276" t="s">
        <v>249</v>
      </c>
      <c r="G43" s="277"/>
      <c r="H43" s="278"/>
      <c r="I43" s="279" t="s">
        <v>334</v>
      </c>
      <c r="J43" s="275" t="s">
        <v>271</v>
      </c>
      <c r="AA43" s="298" t="s">
        <v>479</v>
      </c>
      <c r="AE43" s="596">
        <f>BY43</f>
        <v>0.28137535593749841</v>
      </c>
      <c r="AF43" s="618">
        <f t="shared" ref="AF43:BI43" si="60">BZ43</f>
        <v>0.31907903087731726</v>
      </c>
      <c r="AG43" s="618">
        <f t="shared" si="60"/>
        <v>0.35678270581713634</v>
      </c>
      <c r="AH43" s="618">
        <f t="shared" si="60"/>
        <v>0.3944863807569553</v>
      </c>
      <c r="AI43" s="618">
        <f t="shared" si="60"/>
        <v>0.43219005569677438</v>
      </c>
      <c r="AJ43" s="618">
        <f t="shared" si="60"/>
        <v>0.46989373063659334</v>
      </c>
      <c r="AK43" s="618">
        <f t="shared" si="60"/>
        <v>0.50759740557641231</v>
      </c>
      <c r="AL43" s="618">
        <f t="shared" si="60"/>
        <v>0.54530108051623127</v>
      </c>
      <c r="AM43" s="618">
        <f t="shared" si="60"/>
        <v>0.58300475545605046</v>
      </c>
      <c r="AN43" s="618">
        <f t="shared" si="60"/>
        <v>0.62070843039586931</v>
      </c>
      <c r="AO43" s="596">
        <f t="shared" si="60"/>
        <v>0.65841210533568839</v>
      </c>
      <c r="AP43" s="618">
        <f t="shared" si="60"/>
        <v>0.67558334415357457</v>
      </c>
      <c r="AQ43" s="618">
        <f t="shared" si="60"/>
        <v>0.69275458297146109</v>
      </c>
      <c r="AR43" s="618">
        <f t="shared" si="60"/>
        <v>0.70992582178934738</v>
      </c>
      <c r="AS43" s="618">
        <f t="shared" si="60"/>
        <v>0.72709706060723378</v>
      </c>
      <c r="AT43" s="618">
        <f t="shared" si="60"/>
        <v>0.74426829942512018</v>
      </c>
      <c r="AU43" s="618">
        <f t="shared" si="60"/>
        <v>0.76143953824300648</v>
      </c>
      <c r="AV43" s="618">
        <f t="shared" si="60"/>
        <v>0.77861077706089299</v>
      </c>
      <c r="AW43" s="618">
        <f t="shared" si="60"/>
        <v>0.79578201587877906</v>
      </c>
      <c r="AX43" s="618">
        <f t="shared" si="60"/>
        <v>0.81295325469666557</v>
      </c>
      <c r="AY43" s="618">
        <f t="shared" si="60"/>
        <v>0.83012449351455186</v>
      </c>
      <c r="AZ43" s="618">
        <f t="shared" si="60"/>
        <v>0.84729573233243816</v>
      </c>
      <c r="BA43" s="618">
        <f t="shared" si="60"/>
        <v>0.86446697115032456</v>
      </c>
      <c r="BB43" s="618">
        <f t="shared" si="60"/>
        <v>0.88163820996821096</v>
      </c>
      <c r="BC43" s="618">
        <f t="shared" si="60"/>
        <v>0.89880944878609736</v>
      </c>
      <c r="BD43" s="618">
        <f t="shared" si="60"/>
        <v>0.91598068760398366</v>
      </c>
      <c r="BE43" s="618">
        <f t="shared" si="60"/>
        <v>0.93315192642187006</v>
      </c>
      <c r="BF43" s="618">
        <f t="shared" si="60"/>
        <v>0.95032316523975635</v>
      </c>
      <c r="BG43" s="618">
        <f t="shared" si="60"/>
        <v>0.96749440405764286</v>
      </c>
      <c r="BH43" s="618">
        <f t="shared" si="60"/>
        <v>0.98466564287552916</v>
      </c>
      <c r="BI43" s="596">
        <f t="shared" si="60"/>
        <v>1.0018368816934156</v>
      </c>
      <c r="BU43" s="298" t="s">
        <v>479</v>
      </c>
      <c r="BY43" s="572">
        <f>1-(BY38/BY42)</f>
        <v>0.28137535593749841</v>
      </c>
      <c r="BZ43" s="501">
        <f t="shared" ref="BZ43:CJ43" si="61">1-(BZ38/BZ42)</f>
        <v>0.31907903087731726</v>
      </c>
      <c r="CA43" s="501">
        <f t="shared" si="61"/>
        <v>0.35678270581713634</v>
      </c>
      <c r="CB43" s="501">
        <f t="shared" si="61"/>
        <v>0.3944863807569553</v>
      </c>
      <c r="CC43" s="501">
        <f t="shared" si="61"/>
        <v>0.43219005569677438</v>
      </c>
      <c r="CD43" s="501">
        <f t="shared" si="61"/>
        <v>0.46989373063659334</v>
      </c>
      <c r="CE43" s="501">
        <f t="shared" si="61"/>
        <v>0.50759740557641231</v>
      </c>
      <c r="CF43" s="501">
        <f t="shared" si="61"/>
        <v>0.54530108051623127</v>
      </c>
      <c r="CG43" s="501">
        <f t="shared" si="61"/>
        <v>0.58300475545605046</v>
      </c>
      <c r="CH43" s="501">
        <f t="shared" si="61"/>
        <v>0.62070843039586931</v>
      </c>
      <c r="CI43" s="572">
        <f t="shared" si="61"/>
        <v>0.65841210533568839</v>
      </c>
      <c r="CJ43" s="501">
        <f t="shared" si="61"/>
        <v>0.67558334415357457</v>
      </c>
      <c r="CK43" s="501">
        <f t="shared" ref="CK43" si="62">1-(CK38/CK42)</f>
        <v>0.69275458297146109</v>
      </c>
      <c r="CL43" s="501">
        <f t="shared" ref="CL43" si="63">1-(CL38/CL42)</f>
        <v>0.70992582178934738</v>
      </c>
      <c r="CM43" s="501">
        <f t="shared" ref="CM43" si="64">1-(CM38/CM42)</f>
        <v>0.72709706060723378</v>
      </c>
      <c r="CN43" s="501">
        <f t="shared" ref="CN43" si="65">1-(CN38/CN42)</f>
        <v>0.74426829942512018</v>
      </c>
      <c r="CO43" s="501">
        <f t="shared" ref="CO43" si="66">1-(CO38/CO42)</f>
        <v>0.76143953824300648</v>
      </c>
      <c r="CP43" s="501">
        <f t="shared" ref="CP43" si="67">1-(CP38/CP42)</f>
        <v>0.77861077706089299</v>
      </c>
      <c r="CQ43" s="501">
        <f t="shared" ref="CQ43" si="68">1-(CQ38/CQ42)</f>
        <v>0.79578201587877906</v>
      </c>
      <c r="CR43" s="501">
        <f t="shared" ref="CR43" si="69">1-(CR38/CR42)</f>
        <v>0.81295325469666557</v>
      </c>
      <c r="CS43" s="501">
        <f t="shared" ref="CS43" si="70">1-(CS38/CS42)</f>
        <v>0.83012449351455186</v>
      </c>
      <c r="CT43" s="501">
        <f t="shared" ref="CT43:CU43" si="71">1-(CT38/CT42)</f>
        <v>0.84729573233243816</v>
      </c>
      <c r="CU43" s="501">
        <f t="shared" si="71"/>
        <v>0.86446697115032456</v>
      </c>
      <c r="CV43" s="501">
        <f t="shared" ref="CV43" si="72">1-(CV38/CV42)</f>
        <v>0.88163820996821096</v>
      </c>
      <c r="CW43" s="501">
        <f t="shared" ref="CW43" si="73">1-(CW38/CW42)</f>
        <v>0.89880944878609736</v>
      </c>
      <c r="CX43" s="501">
        <f t="shared" ref="CX43" si="74">1-(CX38/CX42)</f>
        <v>0.91598068760398366</v>
      </c>
      <c r="CY43" s="501">
        <f t="shared" ref="CY43" si="75">1-(CY38/CY42)</f>
        <v>0.93315192642187006</v>
      </c>
      <c r="CZ43" s="501">
        <f t="shared" ref="CZ43" si="76">1-(CZ38/CZ42)</f>
        <v>0.95032316523975635</v>
      </c>
      <c r="DA43" s="501">
        <f t="shared" ref="DA43" si="77">1-(DA38/DA42)</f>
        <v>0.96749440405764286</v>
      </c>
      <c r="DB43" s="501">
        <f t="shared" ref="DB43" si="78">1-(DB38/DB42)</f>
        <v>0.98466564287552916</v>
      </c>
      <c r="DC43" s="572">
        <f t="shared" ref="DC43" si="79">1-(DC38/DC42)</f>
        <v>1.0018368816934156</v>
      </c>
    </row>
    <row r="44" spans="2:118">
      <c r="B44" s="265"/>
      <c r="C44" s="265"/>
      <c r="D44" s="281"/>
      <c r="E44" s="281"/>
      <c r="F44" s="265"/>
      <c r="G44" s="281"/>
      <c r="H44" s="281"/>
      <c r="I44" s="282"/>
      <c r="AA44" s="298" t="s">
        <v>483</v>
      </c>
      <c r="AE44" s="594">
        <f>'2030 Goal Calculation'!$D$34</f>
        <v>10641943.372002171</v>
      </c>
      <c r="AF44" s="604">
        <f>'2030 Goal Calculation'!$D$34</f>
        <v>10641943.372002171</v>
      </c>
      <c r="AG44" s="604">
        <f>'2030 Goal Calculation'!$D$34</f>
        <v>10641943.372002171</v>
      </c>
      <c r="AH44" s="604">
        <f>'2030 Goal Calculation'!$D$34</f>
        <v>10641943.372002171</v>
      </c>
      <c r="AI44" s="604">
        <f>'2030 Goal Calculation'!$D$34</f>
        <v>10641943.372002171</v>
      </c>
      <c r="AJ44" s="604">
        <f>'2030 Goal Calculation'!$D$34</f>
        <v>10641943.372002171</v>
      </c>
      <c r="AK44" s="604">
        <f>'2030 Goal Calculation'!$D$34</f>
        <v>10641943.372002171</v>
      </c>
      <c r="AL44" s="604">
        <f>'2030 Goal Calculation'!$D$34</f>
        <v>10641943.372002171</v>
      </c>
      <c r="AM44" s="604">
        <f>'2030 Goal Calculation'!$D$34</f>
        <v>10641943.372002171</v>
      </c>
      <c r="AN44" s="604">
        <f>'2030 Goal Calculation'!$D$34</f>
        <v>10641943.372002171</v>
      </c>
      <c r="AO44" s="594">
        <f>'2030 Goal Calculation'!$D$34</f>
        <v>10641943.372002171</v>
      </c>
      <c r="AP44" s="604">
        <f>'2030 Goal Calculation'!$D$34</f>
        <v>10641943.372002171</v>
      </c>
      <c r="AQ44" s="604">
        <f>'2030 Goal Calculation'!$D$34</f>
        <v>10641943.372002171</v>
      </c>
      <c r="AR44" s="604">
        <f>'2030 Goal Calculation'!$D$34</f>
        <v>10641943.372002171</v>
      </c>
      <c r="AS44" s="604">
        <f>'2030 Goal Calculation'!$D$34</f>
        <v>10641943.372002171</v>
      </c>
      <c r="AT44" s="604">
        <f>'2030 Goal Calculation'!$D$34</f>
        <v>10641943.372002171</v>
      </c>
      <c r="AU44" s="604">
        <f>'2030 Goal Calculation'!$D$34</f>
        <v>10641943.372002171</v>
      </c>
      <c r="AV44" s="604">
        <f>'2030 Goal Calculation'!$D$34</f>
        <v>10641943.372002171</v>
      </c>
      <c r="AW44" s="604">
        <f>'2030 Goal Calculation'!$D$34</f>
        <v>10641943.372002171</v>
      </c>
      <c r="AX44" s="604">
        <f>'2030 Goal Calculation'!$D$34</f>
        <v>10641943.372002171</v>
      </c>
      <c r="AY44" s="604">
        <f>'2030 Goal Calculation'!$D$34</f>
        <v>10641943.372002171</v>
      </c>
      <c r="AZ44" s="604">
        <f>'2030 Goal Calculation'!$D$34</f>
        <v>10641943.372002171</v>
      </c>
      <c r="BA44" s="604">
        <f>'2030 Goal Calculation'!$D$34</f>
        <v>10641943.372002171</v>
      </c>
      <c r="BB44" s="604">
        <f>'2030 Goal Calculation'!$D$34</f>
        <v>10641943.372002171</v>
      </c>
      <c r="BC44" s="604">
        <f>'2030 Goal Calculation'!$D$34</f>
        <v>10641943.372002171</v>
      </c>
      <c r="BD44" s="604">
        <f>'2030 Goal Calculation'!$D$34</f>
        <v>10641943.372002171</v>
      </c>
      <c r="BE44" s="604">
        <f>'2030 Goal Calculation'!$D$34</f>
        <v>10641943.372002171</v>
      </c>
      <c r="BF44" s="604">
        <f>'2030 Goal Calculation'!$D$34</f>
        <v>10641943.372002171</v>
      </c>
      <c r="BG44" s="604">
        <f>'2030 Goal Calculation'!$D$34</f>
        <v>10641943.372002171</v>
      </c>
      <c r="BH44" s="604">
        <f>'2030 Goal Calculation'!$D$34</f>
        <v>10641943.372002171</v>
      </c>
      <c r="BI44" s="594">
        <f>'2030 Goal Calculation'!$D$34</f>
        <v>10641943.372002171</v>
      </c>
      <c r="BU44" s="298" t="s">
        <v>483</v>
      </c>
      <c r="BY44" s="500">
        <v>10641943.372002171</v>
      </c>
      <c r="BZ44" s="428">
        <v>10641943.372002171</v>
      </c>
      <c r="CA44" s="428">
        <v>10641943.372002171</v>
      </c>
      <c r="CB44" s="428">
        <v>10641943.372002171</v>
      </c>
      <c r="CC44" s="428">
        <v>10641943.372002171</v>
      </c>
      <c r="CD44" s="428">
        <v>10641943.372002171</v>
      </c>
      <c r="CE44" s="428">
        <v>10641943.372002171</v>
      </c>
      <c r="CF44" s="428">
        <v>10641943.372002171</v>
      </c>
      <c r="CG44" s="428">
        <v>10641943.372002171</v>
      </c>
      <c r="CH44" s="428">
        <v>10641943.372002171</v>
      </c>
      <c r="CI44" s="500">
        <v>10641943.372002171</v>
      </c>
      <c r="CJ44" s="428">
        <v>10641943.372002171</v>
      </c>
      <c r="CK44" s="428">
        <v>10641943.372002171</v>
      </c>
      <c r="CL44" s="428">
        <v>10641943.372002171</v>
      </c>
      <c r="CM44" s="428">
        <v>10641943.372002171</v>
      </c>
      <c r="CN44" s="428">
        <v>10641943.372002171</v>
      </c>
      <c r="CO44" s="428">
        <v>10641943.372002171</v>
      </c>
      <c r="CP44" s="428">
        <v>10641943.372002171</v>
      </c>
      <c r="CQ44" s="428">
        <v>10641943.372002171</v>
      </c>
      <c r="CR44" s="428">
        <v>10641943.372002171</v>
      </c>
      <c r="CS44" s="428">
        <v>10641943.372002171</v>
      </c>
      <c r="CT44" s="428">
        <v>10641943.372002171</v>
      </c>
      <c r="CU44" s="428">
        <v>10641943.372002171</v>
      </c>
      <c r="CV44" s="428">
        <v>10641943.372002171</v>
      </c>
      <c r="CW44" s="428">
        <v>10641943.372002171</v>
      </c>
      <c r="CX44" s="428">
        <v>10641943.372002171</v>
      </c>
      <c r="CY44" s="428">
        <v>10641943.372002171</v>
      </c>
      <c r="CZ44" s="428">
        <v>10641943.372002171</v>
      </c>
      <c r="DA44" s="428">
        <v>10641943.372002171</v>
      </c>
      <c r="DB44" s="428">
        <v>10641943.372002171</v>
      </c>
      <c r="DC44" s="500">
        <v>10641943.372002171</v>
      </c>
    </row>
    <row r="45" spans="2:118" ht="20.25">
      <c r="B45" s="414" t="s">
        <v>292</v>
      </c>
      <c r="C45" s="414"/>
      <c r="D45" s="414"/>
      <c r="E45" s="414"/>
      <c r="F45" s="414"/>
      <c r="G45" s="506"/>
      <c r="H45" s="506"/>
      <c r="I45" s="417"/>
      <c r="J45" s="414"/>
      <c r="W45" s="297" t="s">
        <v>295</v>
      </c>
      <c r="AA45" s="298" t="s">
        <v>484</v>
      </c>
      <c r="AE45" s="596">
        <f>BY45</f>
        <v>0.16554772643797266</v>
      </c>
      <c r="AF45" s="618">
        <f t="shared" ref="AF45:BI45" si="80">BZ45</f>
        <v>0.20932846445624631</v>
      </c>
      <c r="AG45" s="618">
        <f t="shared" si="80"/>
        <v>0.25310920247452018</v>
      </c>
      <c r="AH45" s="618">
        <f t="shared" si="80"/>
        <v>0.29688994049279382</v>
      </c>
      <c r="AI45" s="618">
        <f t="shared" si="80"/>
        <v>0.34067067851106769</v>
      </c>
      <c r="AJ45" s="618">
        <f t="shared" si="80"/>
        <v>0.38445141652934134</v>
      </c>
      <c r="AK45" s="618">
        <f t="shared" si="80"/>
        <v>0.4282321545476151</v>
      </c>
      <c r="AL45" s="618">
        <f t="shared" si="80"/>
        <v>0.47201289256588874</v>
      </c>
      <c r="AM45" s="618">
        <f t="shared" si="80"/>
        <v>0.51579363058416261</v>
      </c>
      <c r="AN45" s="618">
        <f t="shared" si="80"/>
        <v>0.55957436860243626</v>
      </c>
      <c r="AO45" s="596">
        <f t="shared" si="80"/>
        <v>0.60335510662071012</v>
      </c>
      <c r="AP45" s="618">
        <f t="shared" si="80"/>
        <v>0.62329399876676828</v>
      </c>
      <c r="AQ45" s="618">
        <f t="shared" si="80"/>
        <v>0.64323289091282687</v>
      </c>
      <c r="AR45" s="618">
        <f t="shared" si="80"/>
        <v>0.66317178305888524</v>
      </c>
      <c r="AS45" s="618">
        <f t="shared" si="80"/>
        <v>0.68311067520494362</v>
      </c>
      <c r="AT45" s="618">
        <f t="shared" si="80"/>
        <v>0.70304956735100199</v>
      </c>
      <c r="AU45" s="618">
        <f t="shared" si="80"/>
        <v>0.72298845949706037</v>
      </c>
      <c r="AV45" s="618">
        <f t="shared" si="80"/>
        <v>0.74292735164311874</v>
      </c>
      <c r="AW45" s="618">
        <f t="shared" si="80"/>
        <v>0.76286624378917689</v>
      </c>
      <c r="AX45" s="618">
        <f t="shared" si="80"/>
        <v>0.78280513593523537</v>
      </c>
      <c r="AY45" s="618">
        <f t="shared" si="80"/>
        <v>0.80274402808129364</v>
      </c>
      <c r="AZ45" s="618">
        <f t="shared" si="80"/>
        <v>0.82268292022735212</v>
      </c>
      <c r="BA45" s="618">
        <f t="shared" si="80"/>
        <v>0.84262181237341049</v>
      </c>
      <c r="BB45" s="618">
        <f t="shared" si="80"/>
        <v>0.86256070451946887</v>
      </c>
      <c r="BC45" s="618">
        <f t="shared" si="80"/>
        <v>0.88249959666552735</v>
      </c>
      <c r="BD45" s="618">
        <f t="shared" si="80"/>
        <v>0.90243848881158562</v>
      </c>
      <c r="BE45" s="618">
        <f t="shared" si="80"/>
        <v>0.92237738095764399</v>
      </c>
      <c r="BF45" s="618">
        <f t="shared" si="80"/>
        <v>0.94231627310370236</v>
      </c>
      <c r="BG45" s="618">
        <f t="shared" si="80"/>
        <v>0.96225516524976085</v>
      </c>
      <c r="BH45" s="618">
        <f t="shared" si="80"/>
        <v>0.98219405739581922</v>
      </c>
      <c r="BI45" s="596">
        <f t="shared" si="80"/>
        <v>1.0021329495418776</v>
      </c>
      <c r="BU45" s="298" t="s">
        <v>484</v>
      </c>
      <c r="BY45" s="572">
        <f>1-(BY38/BY44)</f>
        <v>0.16554772643797266</v>
      </c>
      <c r="BZ45" s="501">
        <f t="shared" ref="BZ45:DC45" si="81">1-(BZ38/BZ44)</f>
        <v>0.20932846445624631</v>
      </c>
      <c r="CA45" s="501">
        <f t="shared" si="81"/>
        <v>0.25310920247452018</v>
      </c>
      <c r="CB45" s="501">
        <f t="shared" si="81"/>
        <v>0.29688994049279382</v>
      </c>
      <c r="CC45" s="501">
        <f t="shared" si="81"/>
        <v>0.34067067851106769</v>
      </c>
      <c r="CD45" s="501">
        <f t="shared" si="81"/>
        <v>0.38445141652934134</v>
      </c>
      <c r="CE45" s="501">
        <f t="shared" si="81"/>
        <v>0.4282321545476151</v>
      </c>
      <c r="CF45" s="501">
        <f t="shared" si="81"/>
        <v>0.47201289256588874</v>
      </c>
      <c r="CG45" s="501">
        <f t="shared" si="81"/>
        <v>0.51579363058416261</v>
      </c>
      <c r="CH45" s="501">
        <f t="shared" si="81"/>
        <v>0.55957436860243626</v>
      </c>
      <c r="CI45" s="572">
        <f t="shared" si="81"/>
        <v>0.60335510662071012</v>
      </c>
      <c r="CJ45" s="501">
        <f t="shared" si="81"/>
        <v>0.62329399876676828</v>
      </c>
      <c r="CK45" s="501">
        <f t="shared" si="81"/>
        <v>0.64323289091282687</v>
      </c>
      <c r="CL45" s="501">
        <f t="shared" si="81"/>
        <v>0.66317178305888524</v>
      </c>
      <c r="CM45" s="501">
        <f t="shared" si="81"/>
        <v>0.68311067520494362</v>
      </c>
      <c r="CN45" s="501">
        <f t="shared" si="81"/>
        <v>0.70304956735100199</v>
      </c>
      <c r="CO45" s="501">
        <f t="shared" si="81"/>
        <v>0.72298845949706037</v>
      </c>
      <c r="CP45" s="501">
        <f t="shared" si="81"/>
        <v>0.74292735164311874</v>
      </c>
      <c r="CQ45" s="501">
        <f t="shared" si="81"/>
        <v>0.76286624378917689</v>
      </c>
      <c r="CR45" s="501">
        <f t="shared" si="81"/>
        <v>0.78280513593523537</v>
      </c>
      <c r="CS45" s="501">
        <f t="shared" si="81"/>
        <v>0.80274402808129364</v>
      </c>
      <c r="CT45" s="501">
        <f t="shared" si="81"/>
        <v>0.82268292022735212</v>
      </c>
      <c r="CU45" s="501">
        <f t="shared" si="81"/>
        <v>0.84262181237341049</v>
      </c>
      <c r="CV45" s="501">
        <f t="shared" si="81"/>
        <v>0.86256070451946887</v>
      </c>
      <c r="CW45" s="501">
        <f t="shared" si="81"/>
        <v>0.88249959666552735</v>
      </c>
      <c r="CX45" s="501">
        <f t="shared" si="81"/>
        <v>0.90243848881158562</v>
      </c>
      <c r="CY45" s="501">
        <f t="shared" si="81"/>
        <v>0.92237738095764399</v>
      </c>
      <c r="CZ45" s="501">
        <f t="shared" si="81"/>
        <v>0.94231627310370236</v>
      </c>
      <c r="DA45" s="501">
        <f t="shared" si="81"/>
        <v>0.96225516524976085</v>
      </c>
      <c r="DB45" s="501">
        <f t="shared" si="81"/>
        <v>0.98219405739581922</v>
      </c>
      <c r="DC45" s="572">
        <f t="shared" si="81"/>
        <v>1.0021329495418776</v>
      </c>
    </row>
    <row r="46" spans="2:118" ht="20.25">
      <c r="B46" s="507" t="s">
        <v>329</v>
      </c>
      <c r="C46" s="508">
        <f>C8/H8*'Talking Point Statistics'!B9*(1-'Talking Point Statistics'!B12)</f>
        <v>86747.051080705176</v>
      </c>
      <c r="D46" s="509"/>
      <c r="E46" s="281"/>
      <c r="F46" s="508">
        <f>(I8/H8*'Talking Point Statistics'!B9*(1-'Talking Point Statistics'!B12))-C46</f>
        <v>202409.78585497878</v>
      </c>
      <c r="G46" s="509"/>
      <c r="H46" s="509"/>
      <c r="I46" s="510">
        <f t="shared" ref="I46:I50" si="82">C46+F46</f>
        <v>289156.83693568397</v>
      </c>
      <c r="J46" s="511" t="s">
        <v>328</v>
      </c>
      <c r="AA46" s="298" t="s">
        <v>478</v>
      </c>
      <c r="AE46" s="594">
        <f>'2030 Goal Calculation'!$N$34</f>
        <v>8724553.4328271747</v>
      </c>
      <c r="AF46" s="604">
        <f>'2030 Goal Calculation'!$N$34</f>
        <v>8724553.4328271747</v>
      </c>
      <c r="AG46" s="604">
        <f>'2030 Goal Calculation'!$N$34</f>
        <v>8724553.4328271747</v>
      </c>
      <c r="AH46" s="604">
        <f>'2030 Goal Calculation'!$N$34</f>
        <v>8724553.4328271747</v>
      </c>
      <c r="AI46" s="604">
        <f>'2030 Goal Calculation'!$N$34</f>
        <v>8724553.4328271747</v>
      </c>
      <c r="AJ46" s="604">
        <f>'2030 Goal Calculation'!$N$34</f>
        <v>8724553.4328271747</v>
      </c>
      <c r="AK46" s="604">
        <f>'2030 Goal Calculation'!$N$34</f>
        <v>8724553.4328271747</v>
      </c>
      <c r="AL46" s="604">
        <f>'2030 Goal Calculation'!$N$34</f>
        <v>8724553.4328271747</v>
      </c>
      <c r="AM46" s="604">
        <f>'2030 Goal Calculation'!$N$34</f>
        <v>8724553.4328271747</v>
      </c>
      <c r="AN46" s="604">
        <f>'2030 Goal Calculation'!$N$34</f>
        <v>8724553.4328271747</v>
      </c>
      <c r="AO46" s="594">
        <f>'2030 Goal Calculation'!$N$34</f>
        <v>8724553.4328271747</v>
      </c>
      <c r="AP46" s="604">
        <f>'2030 Goal Calculation'!$N$34</f>
        <v>8724553.4328271747</v>
      </c>
      <c r="AQ46" s="604">
        <f>'2030 Goal Calculation'!$N$34</f>
        <v>8724553.4328271747</v>
      </c>
      <c r="AR46" s="604">
        <f>'2030 Goal Calculation'!$N$34</f>
        <v>8724553.4328271747</v>
      </c>
      <c r="AS46" s="604">
        <f>'2030 Goal Calculation'!$N$34</f>
        <v>8724553.4328271747</v>
      </c>
      <c r="AT46" s="604">
        <f>'2030 Goal Calculation'!$N$34</f>
        <v>8724553.4328271747</v>
      </c>
      <c r="AU46" s="604">
        <f>'2030 Goal Calculation'!$N$34</f>
        <v>8724553.4328271747</v>
      </c>
      <c r="AV46" s="604">
        <f>'2030 Goal Calculation'!$N$34</f>
        <v>8724553.4328271747</v>
      </c>
      <c r="AW46" s="604">
        <f>'2030 Goal Calculation'!$N$34</f>
        <v>8724553.4328271747</v>
      </c>
      <c r="AX46" s="604">
        <f>'2030 Goal Calculation'!$N$34</f>
        <v>8724553.4328271747</v>
      </c>
      <c r="AY46" s="604">
        <f>'2030 Goal Calculation'!$N$34</f>
        <v>8724553.4328271747</v>
      </c>
      <c r="AZ46" s="604">
        <f>'2030 Goal Calculation'!$N$34</f>
        <v>8724553.4328271747</v>
      </c>
      <c r="BA46" s="604">
        <f>'2030 Goal Calculation'!$N$34</f>
        <v>8724553.4328271747</v>
      </c>
      <c r="BB46" s="604">
        <f>'2030 Goal Calculation'!$N$34</f>
        <v>8724553.4328271747</v>
      </c>
      <c r="BC46" s="604">
        <f>'2030 Goal Calculation'!$N$34</f>
        <v>8724553.4328271747</v>
      </c>
      <c r="BD46" s="604">
        <f>'2030 Goal Calculation'!$N$34</f>
        <v>8724553.4328271747</v>
      </c>
      <c r="BE46" s="604">
        <f>'2030 Goal Calculation'!$N$34</f>
        <v>8724553.4328271747</v>
      </c>
      <c r="BF46" s="604">
        <f>'2030 Goal Calculation'!$N$34</f>
        <v>8724553.4328271747</v>
      </c>
      <c r="BG46" s="604">
        <f>'2030 Goal Calculation'!$N$34</f>
        <v>8724553.4328271747</v>
      </c>
      <c r="BH46" s="604">
        <f>'2030 Goal Calculation'!$N$34</f>
        <v>8724553.4328271747</v>
      </c>
      <c r="BI46" s="594">
        <f>'2030 Goal Calculation'!$N$34</f>
        <v>8724553.4328271747</v>
      </c>
      <c r="BU46" s="298" t="s">
        <v>478</v>
      </c>
      <c r="BY46" s="500">
        <v>8724553.4328271747</v>
      </c>
      <c r="BZ46" s="428">
        <v>8724553.4328271747</v>
      </c>
      <c r="CA46" s="428">
        <v>8724553.4328271747</v>
      </c>
      <c r="CB46" s="428">
        <v>8724553.4328271747</v>
      </c>
      <c r="CC46" s="428">
        <v>8724553.4328271747</v>
      </c>
      <c r="CD46" s="428">
        <v>8724553.4328271747</v>
      </c>
      <c r="CE46" s="428">
        <v>8724553.4328271747</v>
      </c>
      <c r="CF46" s="428">
        <v>8724553.4328271747</v>
      </c>
      <c r="CG46" s="428">
        <v>8724553.4328271747</v>
      </c>
      <c r="CH46" s="428">
        <v>8724553.4328271747</v>
      </c>
      <c r="CI46" s="500">
        <v>8724553.4328271747</v>
      </c>
      <c r="CJ46" s="428">
        <v>8724553.4328271747</v>
      </c>
      <c r="CK46" s="428">
        <v>8724553.4328271747</v>
      </c>
      <c r="CL46" s="428">
        <v>8724553.4328271747</v>
      </c>
      <c r="CM46" s="428">
        <v>8724553.4328271747</v>
      </c>
      <c r="CN46" s="428">
        <v>8724553.4328271747</v>
      </c>
      <c r="CO46" s="428">
        <v>8724553.4328271747</v>
      </c>
      <c r="CP46" s="428">
        <v>8724553.4328271747</v>
      </c>
      <c r="CQ46" s="428">
        <v>8724553.4328271747</v>
      </c>
      <c r="CR46" s="428">
        <v>8724553.4328271747</v>
      </c>
      <c r="CS46" s="428">
        <v>8724553.4328271747</v>
      </c>
      <c r="CT46" s="428">
        <v>8724553.4328271747</v>
      </c>
      <c r="CU46" s="428">
        <v>8724553.4328271747</v>
      </c>
      <c r="CV46" s="428">
        <v>8724553.4328271747</v>
      </c>
      <c r="CW46" s="428">
        <v>8724553.4328271747</v>
      </c>
      <c r="CX46" s="428">
        <v>8724553.4328271747</v>
      </c>
      <c r="CY46" s="428">
        <v>8724553.4328271747</v>
      </c>
      <c r="CZ46" s="428">
        <v>8724553.4328271747</v>
      </c>
      <c r="DA46" s="428">
        <v>8724553.4328271747</v>
      </c>
      <c r="DB46" s="428">
        <v>8724553.4328271747</v>
      </c>
      <c r="DC46" s="500">
        <v>8724553.4328271747</v>
      </c>
    </row>
    <row r="47" spans="2:118" ht="20.25">
      <c r="B47" s="512" t="s">
        <v>289</v>
      </c>
      <c r="C47" s="513">
        <f>C46*'Talking Point Statistics'!B16/'Talking Point Statistics'!B9</f>
        <v>47016.90168574221</v>
      </c>
      <c r="D47" s="509"/>
      <c r="E47" s="509"/>
      <c r="F47" s="513">
        <f>F46*'Talking Point Statistics'!B16/'Talking Point Statistics'!B9</f>
        <v>109706.10393339852</v>
      </c>
      <c r="G47" s="509"/>
      <c r="H47" s="509"/>
      <c r="I47" s="514">
        <f>C47+F47</f>
        <v>156723.00561914075</v>
      </c>
      <c r="J47" s="512"/>
      <c r="AA47" s="298" t="s">
        <v>485</v>
      </c>
      <c r="AE47" s="597">
        <f>BY47</f>
        <v>0</v>
      </c>
      <c r="AF47" s="618">
        <f t="shared" ref="AF47:BH47" si="83">BZ47</f>
        <v>3.5563049513699041E-2</v>
      </c>
      <c r="AG47" s="618">
        <f t="shared" si="83"/>
        <v>8.8965454388873821E-2</v>
      </c>
      <c r="AH47" s="618">
        <f t="shared" si="83"/>
        <v>0.14236785926404838</v>
      </c>
      <c r="AI47" s="618">
        <f t="shared" si="83"/>
        <v>0.19577026413922316</v>
      </c>
      <c r="AJ47" s="618">
        <f t="shared" si="83"/>
        <v>0.24917266901439783</v>
      </c>
      <c r="AK47" s="618">
        <f t="shared" si="83"/>
        <v>0.3025750738895725</v>
      </c>
      <c r="AL47" s="618">
        <f t="shared" si="83"/>
        <v>0.35597747876474706</v>
      </c>
      <c r="AM47" s="618">
        <f t="shared" si="83"/>
        <v>0.40937988363992184</v>
      </c>
      <c r="AN47" s="618">
        <f t="shared" si="83"/>
        <v>0.4627822885150964</v>
      </c>
      <c r="AO47" s="597">
        <f t="shared" si="83"/>
        <v>0.51618469339027118</v>
      </c>
      <c r="AP47" s="618">
        <f t="shared" si="83"/>
        <v>0.54050554405071016</v>
      </c>
      <c r="AQ47" s="618">
        <f t="shared" si="83"/>
        <v>0.56482639471114948</v>
      </c>
      <c r="AR47" s="618">
        <f t="shared" si="83"/>
        <v>0.58914724537158869</v>
      </c>
      <c r="AS47" s="618">
        <f t="shared" si="83"/>
        <v>0.61346809603202801</v>
      </c>
      <c r="AT47" s="618">
        <f t="shared" si="83"/>
        <v>0.63778894669246733</v>
      </c>
      <c r="AU47" s="618">
        <f t="shared" si="83"/>
        <v>0.66210979735290643</v>
      </c>
      <c r="AV47" s="618">
        <f t="shared" si="83"/>
        <v>0.68643064801334575</v>
      </c>
      <c r="AW47" s="618">
        <f t="shared" si="83"/>
        <v>0.71075149867378462</v>
      </c>
      <c r="AX47" s="618">
        <f t="shared" si="83"/>
        <v>0.73507234933422405</v>
      </c>
      <c r="AY47" s="618">
        <f t="shared" si="83"/>
        <v>0.75939319999466315</v>
      </c>
      <c r="AZ47" s="618">
        <f t="shared" si="83"/>
        <v>0.78371405065510236</v>
      </c>
      <c r="BA47" s="618">
        <f t="shared" si="83"/>
        <v>0.80803490131554168</v>
      </c>
      <c r="BB47" s="618">
        <f t="shared" si="83"/>
        <v>0.83235575197598088</v>
      </c>
      <c r="BC47" s="618">
        <f t="shared" si="83"/>
        <v>0.85667660263642031</v>
      </c>
      <c r="BD47" s="618">
        <f t="shared" si="83"/>
        <v>0.8809974532968593</v>
      </c>
      <c r="BE47" s="618">
        <f t="shared" si="83"/>
        <v>0.90531830395729851</v>
      </c>
      <c r="BF47" s="618">
        <f t="shared" si="83"/>
        <v>0.92963915461773783</v>
      </c>
      <c r="BG47" s="618">
        <f t="shared" si="83"/>
        <v>0.95396000527817715</v>
      </c>
      <c r="BH47" s="618">
        <f t="shared" si="83"/>
        <v>0.97828085593861625</v>
      </c>
      <c r="BI47" s="597">
        <f>DC47</f>
        <v>1.0026017065990556</v>
      </c>
      <c r="BJ47" s="574"/>
      <c r="BU47" s="298" t="s">
        <v>485</v>
      </c>
      <c r="BY47" s="502">
        <v>0</v>
      </c>
      <c r="BZ47" s="501">
        <f t="shared" ref="BZ47:DB47" si="84">1-(BZ38/BZ46)</f>
        <v>3.5563049513699041E-2</v>
      </c>
      <c r="CA47" s="501">
        <f t="shared" si="84"/>
        <v>8.8965454388873821E-2</v>
      </c>
      <c r="CB47" s="501">
        <f t="shared" si="84"/>
        <v>0.14236785926404838</v>
      </c>
      <c r="CC47" s="501">
        <f t="shared" si="84"/>
        <v>0.19577026413922316</v>
      </c>
      <c r="CD47" s="501">
        <f t="shared" si="84"/>
        <v>0.24917266901439783</v>
      </c>
      <c r="CE47" s="501">
        <f t="shared" si="84"/>
        <v>0.3025750738895725</v>
      </c>
      <c r="CF47" s="501">
        <f t="shared" si="84"/>
        <v>0.35597747876474706</v>
      </c>
      <c r="CG47" s="501">
        <f t="shared" si="84"/>
        <v>0.40937988363992184</v>
      </c>
      <c r="CH47" s="501">
        <f t="shared" si="84"/>
        <v>0.4627822885150964</v>
      </c>
      <c r="CI47" s="502">
        <f t="shared" si="84"/>
        <v>0.51618469339027118</v>
      </c>
      <c r="CJ47" s="501">
        <f t="shared" si="84"/>
        <v>0.54050554405071016</v>
      </c>
      <c r="CK47" s="501">
        <f t="shared" si="84"/>
        <v>0.56482639471114948</v>
      </c>
      <c r="CL47" s="501">
        <f t="shared" si="84"/>
        <v>0.58914724537158869</v>
      </c>
      <c r="CM47" s="501">
        <f t="shared" si="84"/>
        <v>0.61346809603202801</v>
      </c>
      <c r="CN47" s="501">
        <f t="shared" si="84"/>
        <v>0.63778894669246733</v>
      </c>
      <c r="CO47" s="501">
        <f t="shared" si="84"/>
        <v>0.66210979735290643</v>
      </c>
      <c r="CP47" s="501">
        <f t="shared" si="84"/>
        <v>0.68643064801334575</v>
      </c>
      <c r="CQ47" s="501">
        <f t="shared" si="84"/>
        <v>0.71075149867378462</v>
      </c>
      <c r="CR47" s="501">
        <f t="shared" si="84"/>
        <v>0.73507234933422405</v>
      </c>
      <c r="CS47" s="501">
        <f t="shared" si="84"/>
        <v>0.75939319999466315</v>
      </c>
      <c r="CT47" s="501">
        <f t="shared" si="84"/>
        <v>0.78371405065510236</v>
      </c>
      <c r="CU47" s="501">
        <f t="shared" si="84"/>
        <v>0.80803490131554168</v>
      </c>
      <c r="CV47" s="501">
        <f t="shared" si="84"/>
        <v>0.83235575197598088</v>
      </c>
      <c r="CW47" s="501">
        <f t="shared" si="84"/>
        <v>0.85667660263642031</v>
      </c>
      <c r="CX47" s="501">
        <f t="shared" si="84"/>
        <v>0.8809974532968593</v>
      </c>
      <c r="CY47" s="501">
        <f t="shared" si="84"/>
        <v>0.90531830395729851</v>
      </c>
      <c r="CZ47" s="501">
        <f t="shared" si="84"/>
        <v>0.92963915461773783</v>
      </c>
      <c r="DA47" s="501">
        <f t="shared" si="84"/>
        <v>0.95396000527817715</v>
      </c>
      <c r="DB47" s="501">
        <f t="shared" si="84"/>
        <v>0.97828085593861625</v>
      </c>
      <c r="DC47" s="502">
        <f>1-(DC38/DC46)</f>
        <v>1.0026017065990556</v>
      </c>
    </row>
    <row r="48" spans="2:118" ht="20.25">
      <c r="B48" s="512" t="s">
        <v>290</v>
      </c>
      <c r="C48" s="513">
        <f>C46*'Talking Point Statistics'!B18/'Talking Point Statistics'!B9</f>
        <v>39730.149394962973</v>
      </c>
      <c r="D48" s="509"/>
      <c r="E48" s="509"/>
      <c r="F48" s="513">
        <f>F46*'Talking Point Statistics'!B18/'Talking Point Statistics'!B9</f>
        <v>92703.681921580283</v>
      </c>
      <c r="G48" s="509"/>
      <c r="H48" s="509"/>
      <c r="I48" s="514">
        <f t="shared" si="82"/>
        <v>132433.83131654325</v>
      </c>
      <c r="J48" s="512"/>
    </row>
    <row r="49" spans="2:62" ht="20.25">
      <c r="B49" s="512" t="s">
        <v>288</v>
      </c>
      <c r="C49" s="515">
        <f>C46*'Talking Point Statistics'!B8</f>
        <v>19247.892282710138</v>
      </c>
      <c r="D49" s="509"/>
      <c r="E49" s="509"/>
      <c r="F49" s="515">
        <f>F46*'Talking Point Statistics'!B8</f>
        <v>44911.748659656994</v>
      </c>
      <c r="G49" s="509"/>
      <c r="H49" s="509"/>
      <c r="I49" s="516">
        <f>C49+F49</f>
        <v>64159.640942367128</v>
      </c>
      <c r="J49" s="512"/>
    </row>
    <row r="50" spans="2:62" ht="21" thickBot="1">
      <c r="B50" s="512" t="s">
        <v>287</v>
      </c>
      <c r="C50" s="515">
        <f>C46*'Buildings Data'!$A$107</f>
        <v>10759.544703328726</v>
      </c>
      <c r="D50" s="509"/>
      <c r="E50" s="509"/>
      <c r="F50" s="515">
        <f>F46*'Buildings Data'!$A$107</f>
        <v>25105.604307767033</v>
      </c>
      <c r="G50" s="509"/>
      <c r="H50" s="509"/>
      <c r="I50" s="516">
        <f t="shared" si="82"/>
        <v>35865.14901109576</v>
      </c>
      <c r="J50" s="512"/>
    </row>
    <row r="51" spans="2:62" ht="21" thickBot="1">
      <c r="B51" s="512" t="s">
        <v>332</v>
      </c>
      <c r="C51" s="517">
        <v>7800</v>
      </c>
      <c r="D51" s="509"/>
      <c r="E51" s="509"/>
      <c r="F51" s="517">
        <v>7800</v>
      </c>
      <c r="G51" s="509"/>
      <c r="H51" s="509"/>
      <c r="I51" s="516" t="s">
        <v>275</v>
      </c>
      <c r="J51" s="512" t="s">
        <v>293</v>
      </c>
    </row>
    <row r="52" spans="2:62" ht="20.25">
      <c r="B52" s="512" t="s">
        <v>458</v>
      </c>
      <c r="C52" s="518">
        <f>C50*C51</f>
        <v>83924448.685964063</v>
      </c>
      <c r="D52" s="509"/>
      <c r="E52" s="509"/>
      <c r="F52" s="519">
        <f>F50*F51</f>
        <v>195823713.60058287</v>
      </c>
      <c r="G52" s="509"/>
      <c r="H52" s="509"/>
      <c r="I52" s="520">
        <f>C52+F52</f>
        <v>279748162.28654695</v>
      </c>
      <c r="J52" s="512" t="s">
        <v>294</v>
      </c>
    </row>
    <row r="53" spans="2:62" ht="18.95" customHeight="1">
      <c r="B53" s="476"/>
      <c r="C53" s="422"/>
      <c r="D53" s="509"/>
      <c r="E53" s="509"/>
      <c r="F53" s="422"/>
      <c r="G53" s="509"/>
      <c r="H53" s="509"/>
      <c r="I53" s="521"/>
      <c r="J53" s="522"/>
      <c r="AA53" s="736"/>
      <c r="AB53" s="736">
        <v>2017</v>
      </c>
      <c r="AC53" s="736">
        <v>2018</v>
      </c>
      <c r="AD53" s="736">
        <v>2019</v>
      </c>
      <c r="AE53" s="736">
        <f t="shared" ref="AE53:BH53" si="85">AE2</f>
        <v>2020</v>
      </c>
      <c r="AF53" s="736">
        <f t="shared" si="85"/>
        <v>2021</v>
      </c>
      <c r="AG53" s="736">
        <f t="shared" si="85"/>
        <v>2022</v>
      </c>
      <c r="AH53" s="736">
        <f t="shared" si="85"/>
        <v>2023</v>
      </c>
      <c r="AI53" s="736">
        <f t="shared" si="85"/>
        <v>2024</v>
      </c>
      <c r="AJ53" s="736">
        <f t="shared" si="85"/>
        <v>2025</v>
      </c>
      <c r="AK53" s="736">
        <f t="shared" si="85"/>
        <v>2026</v>
      </c>
      <c r="AL53" s="736">
        <f t="shared" si="85"/>
        <v>2027</v>
      </c>
      <c r="AM53" s="736">
        <f t="shared" si="85"/>
        <v>2028</v>
      </c>
      <c r="AN53" s="736">
        <f t="shared" si="85"/>
        <v>2029</v>
      </c>
      <c r="AO53" s="736">
        <f t="shared" si="85"/>
        <v>2030</v>
      </c>
      <c r="AP53" s="736">
        <f t="shared" si="85"/>
        <v>2031</v>
      </c>
      <c r="AQ53" s="736">
        <f t="shared" si="85"/>
        <v>2032</v>
      </c>
      <c r="AR53" s="736">
        <f t="shared" si="85"/>
        <v>2033</v>
      </c>
      <c r="AS53" s="736">
        <f t="shared" si="85"/>
        <v>2034</v>
      </c>
      <c r="AT53" s="736">
        <f t="shared" si="85"/>
        <v>2035</v>
      </c>
      <c r="AU53" s="736">
        <f t="shared" si="85"/>
        <v>2036</v>
      </c>
      <c r="AV53" s="736">
        <f t="shared" si="85"/>
        <v>2037</v>
      </c>
      <c r="AW53" s="736">
        <f t="shared" si="85"/>
        <v>2038</v>
      </c>
      <c r="AX53" s="736">
        <f t="shared" si="85"/>
        <v>2039</v>
      </c>
      <c r="AY53" s="736">
        <f t="shared" si="85"/>
        <v>2040</v>
      </c>
      <c r="AZ53" s="736">
        <f t="shared" si="85"/>
        <v>2041</v>
      </c>
      <c r="BA53" s="736">
        <f t="shared" si="85"/>
        <v>2042</v>
      </c>
      <c r="BB53" s="736">
        <f t="shared" si="85"/>
        <v>2043</v>
      </c>
      <c r="BC53" s="736">
        <f t="shared" si="85"/>
        <v>2044</v>
      </c>
      <c r="BD53" s="736">
        <f t="shared" si="85"/>
        <v>2045</v>
      </c>
      <c r="BE53" s="736">
        <f t="shared" si="85"/>
        <v>2046</v>
      </c>
      <c r="BF53" s="736">
        <f t="shared" si="85"/>
        <v>2047</v>
      </c>
      <c r="BG53" s="736">
        <f t="shared" si="85"/>
        <v>2048</v>
      </c>
      <c r="BH53" s="736">
        <f t="shared" si="85"/>
        <v>2049</v>
      </c>
      <c r="BI53" s="736">
        <f>BI2</f>
        <v>2050</v>
      </c>
    </row>
    <row r="54" spans="2:62" ht="20.25">
      <c r="B54" s="414" t="s">
        <v>250</v>
      </c>
      <c r="C54" s="414"/>
      <c r="D54" s="414"/>
      <c r="E54" s="414"/>
      <c r="F54" s="414"/>
      <c r="G54" s="506"/>
      <c r="H54" s="506"/>
      <c r="I54" s="417"/>
      <c r="J54" s="414"/>
      <c r="AA54" s="298" t="s">
        <v>584</v>
      </c>
      <c r="AE54" s="600">
        <f>'2030 Goal Calculation'!P37</f>
        <v>5354200.762373535</v>
      </c>
      <c r="AF54" s="735">
        <f>$AE$54+SUM(AF6:AF24)</f>
        <v>5070129.4871809958</v>
      </c>
      <c r="AG54" s="735">
        <f t="shared" ref="AG54:BI54" si="86">$AE$54+SUM(AG6:AG24)</f>
        <v>4786058.2119884565</v>
      </c>
      <c r="AH54" s="735">
        <f t="shared" si="86"/>
        <v>4501986.9367959173</v>
      </c>
      <c r="AI54" s="735">
        <f t="shared" si="86"/>
        <v>4217915.6616033781</v>
      </c>
      <c r="AJ54" s="735">
        <f t="shared" si="86"/>
        <v>3933844.3864108389</v>
      </c>
      <c r="AK54" s="735">
        <f t="shared" si="86"/>
        <v>3649773.1112182997</v>
      </c>
      <c r="AL54" s="735">
        <f t="shared" si="86"/>
        <v>3365701.8360257605</v>
      </c>
      <c r="AM54" s="735">
        <f t="shared" si="86"/>
        <v>3081630.5608332208</v>
      </c>
      <c r="AN54" s="735">
        <f t="shared" si="86"/>
        <v>2797559.2856406821</v>
      </c>
      <c r="AO54" s="735">
        <f t="shared" si="86"/>
        <v>2513488.0104481429</v>
      </c>
      <c r="AP54" s="735">
        <f t="shared" si="86"/>
        <v>2395020.7610136131</v>
      </c>
      <c r="AQ54" s="735">
        <f t="shared" si="86"/>
        <v>2276553.5115790833</v>
      </c>
      <c r="AR54" s="735">
        <f t="shared" si="86"/>
        <v>2158086.2621445535</v>
      </c>
      <c r="AS54" s="735">
        <f t="shared" si="86"/>
        <v>2039619.0127100241</v>
      </c>
      <c r="AT54" s="735">
        <f t="shared" si="86"/>
        <v>1921151.7632754953</v>
      </c>
      <c r="AU54" s="735">
        <f t="shared" si="86"/>
        <v>1802684.5138409645</v>
      </c>
      <c r="AV54" s="735">
        <f t="shared" si="86"/>
        <v>1684217.2644064352</v>
      </c>
      <c r="AW54" s="735">
        <f t="shared" si="86"/>
        <v>1565750.0149719059</v>
      </c>
      <c r="AX54" s="735">
        <f t="shared" si="86"/>
        <v>1447282.7655373765</v>
      </c>
      <c r="AY54" s="735">
        <f t="shared" si="86"/>
        <v>1328815.5161028467</v>
      </c>
      <c r="AZ54" s="735">
        <f t="shared" si="86"/>
        <v>1210348.2666683164</v>
      </c>
      <c r="BA54" s="735">
        <f t="shared" si="86"/>
        <v>1091881.0172337871</v>
      </c>
      <c r="BB54" s="735">
        <f t="shared" si="86"/>
        <v>973413.7677992573</v>
      </c>
      <c r="BC54" s="735">
        <f t="shared" si="86"/>
        <v>854946.51836472657</v>
      </c>
      <c r="BD54" s="735">
        <f t="shared" si="86"/>
        <v>736479.26893019769</v>
      </c>
      <c r="BE54" s="735">
        <f t="shared" si="86"/>
        <v>618012.01949566789</v>
      </c>
      <c r="BF54" s="735">
        <f t="shared" si="86"/>
        <v>499544.77006113809</v>
      </c>
      <c r="BG54" s="735">
        <f t="shared" si="86"/>
        <v>381077.52062660735</v>
      </c>
      <c r="BH54" s="735">
        <f>$AE$54+SUM(BH6:BH24)</f>
        <v>262610.27119207848</v>
      </c>
      <c r="BI54" s="735">
        <f t="shared" si="86"/>
        <v>144143.02175754774</v>
      </c>
      <c r="BJ54" s="735"/>
    </row>
    <row r="55" spans="2:62" ht="20.25">
      <c r="B55" s="511" t="s">
        <v>278</v>
      </c>
      <c r="C55" s="510">
        <f>C10/H10*'Talking Point Statistics'!B22</f>
        <v>11417.1</v>
      </c>
      <c r="D55" s="523"/>
      <c r="E55" s="523"/>
      <c r="F55" s="510">
        <f>C10/H10*'Talking Point Statistics'!B22</f>
        <v>11417.1</v>
      </c>
      <c r="G55" s="524"/>
      <c r="H55" s="524"/>
      <c r="I55" s="510">
        <f>C55+F55</f>
        <v>22834.2</v>
      </c>
      <c r="J55" s="511" t="s">
        <v>276</v>
      </c>
      <c r="AA55" s="298" t="s">
        <v>32</v>
      </c>
      <c r="AE55" s="600">
        <f>'Transport Data'!B33</f>
        <v>3215984.9809550736</v>
      </c>
      <c r="AF55" s="735">
        <f>$AE$55+SUM(AF26:AF34)</f>
        <v>3034144.1213726811</v>
      </c>
      <c r="AG55" s="735">
        <f t="shared" ref="AG55:BI55" si="87">$AE$55+SUM(AG26:AG34)</f>
        <v>2852303.2617902886</v>
      </c>
      <c r="AH55" s="735">
        <f t="shared" si="87"/>
        <v>2670462.4022078961</v>
      </c>
      <c r="AI55" s="735">
        <f t="shared" si="87"/>
        <v>2488621.5426255036</v>
      </c>
      <c r="AJ55" s="735">
        <f t="shared" si="87"/>
        <v>2306780.6830431111</v>
      </c>
      <c r="AK55" s="735">
        <f t="shared" si="87"/>
        <v>2124939.8234607191</v>
      </c>
      <c r="AL55" s="735">
        <f t="shared" si="87"/>
        <v>1943098.9638783266</v>
      </c>
      <c r="AM55" s="735">
        <f t="shared" si="87"/>
        <v>1761258.1042959341</v>
      </c>
      <c r="AN55" s="735">
        <f t="shared" si="87"/>
        <v>1579417.2447135416</v>
      </c>
      <c r="AO55" s="735">
        <f t="shared" si="87"/>
        <v>1397576.3851311491</v>
      </c>
      <c r="AP55" s="735">
        <f t="shared" si="87"/>
        <v>1327697.5658745915</v>
      </c>
      <c r="AQ55" s="735">
        <f t="shared" si="87"/>
        <v>1257818.7466180339</v>
      </c>
      <c r="AR55" s="735">
        <f t="shared" si="87"/>
        <v>1187939.9273614765</v>
      </c>
      <c r="AS55" s="735">
        <f t="shared" si="87"/>
        <v>1118061.1081049191</v>
      </c>
      <c r="AT55" s="735">
        <f t="shared" si="87"/>
        <v>1048182.2888483615</v>
      </c>
      <c r="AU55" s="735">
        <f t="shared" si="87"/>
        <v>978303.46959180431</v>
      </c>
      <c r="AV55" s="735">
        <f t="shared" si="87"/>
        <v>908424.6503352467</v>
      </c>
      <c r="AW55" s="735">
        <f t="shared" si="87"/>
        <v>838545.83107868908</v>
      </c>
      <c r="AX55" s="735">
        <f t="shared" si="87"/>
        <v>768667.01182213193</v>
      </c>
      <c r="AY55" s="735">
        <f t="shared" si="87"/>
        <v>698788.19256557478</v>
      </c>
      <c r="AZ55" s="735">
        <f t="shared" si="87"/>
        <v>628909.37330901716</v>
      </c>
      <c r="BA55" s="735">
        <f t="shared" si="87"/>
        <v>559030.55405245954</v>
      </c>
      <c r="BB55" s="735">
        <f t="shared" si="87"/>
        <v>489151.73479590239</v>
      </c>
      <c r="BC55" s="735">
        <f t="shared" si="87"/>
        <v>419272.91553934477</v>
      </c>
      <c r="BD55" s="735">
        <f t="shared" si="87"/>
        <v>349394.09628278762</v>
      </c>
      <c r="BE55" s="735">
        <f t="shared" si="87"/>
        <v>279515.27702622954</v>
      </c>
      <c r="BF55" s="735">
        <f t="shared" si="87"/>
        <v>209636.45776967239</v>
      </c>
      <c r="BG55" s="735">
        <f t="shared" si="87"/>
        <v>139757.63851311477</v>
      </c>
      <c r="BH55" s="735">
        <f t="shared" si="87"/>
        <v>69878.819256557617</v>
      </c>
      <c r="BI55" s="735">
        <f t="shared" si="87"/>
        <v>0</v>
      </c>
    </row>
    <row r="56" spans="2:62" ht="14.1" customHeight="1">
      <c r="B56" s="525"/>
      <c r="C56" s="516"/>
      <c r="D56" s="509"/>
      <c r="E56" s="509"/>
      <c r="F56" s="516"/>
      <c r="G56" s="526"/>
      <c r="H56" s="526"/>
      <c r="I56" s="516"/>
      <c r="J56" s="527"/>
      <c r="AA56" s="298" t="s">
        <v>85</v>
      </c>
      <c r="AE56" s="600">
        <f>'Portland_GHGs_1990-2017'!V17+'Portland_GHGs_1990-2017'!V19+'Portland_GHGs_1990-2017'!V21</f>
        <v>310009</v>
      </c>
      <c r="AF56" s="735">
        <f>$AE$56</f>
        <v>310009</v>
      </c>
      <c r="AG56" s="735">
        <f t="shared" ref="AG56:BI56" si="88">$AE$56</f>
        <v>310009</v>
      </c>
      <c r="AH56" s="735">
        <f t="shared" si="88"/>
        <v>310009</v>
      </c>
      <c r="AI56" s="735">
        <f t="shared" si="88"/>
        <v>310009</v>
      </c>
      <c r="AJ56" s="735">
        <f t="shared" si="88"/>
        <v>310009</v>
      </c>
      <c r="AK56" s="735">
        <f t="shared" si="88"/>
        <v>310009</v>
      </c>
      <c r="AL56" s="735">
        <f t="shared" si="88"/>
        <v>310009</v>
      </c>
      <c r="AM56" s="735">
        <f t="shared" si="88"/>
        <v>310009</v>
      </c>
      <c r="AN56" s="735">
        <f t="shared" si="88"/>
        <v>310009</v>
      </c>
      <c r="AO56" s="735">
        <f t="shared" si="88"/>
        <v>310009</v>
      </c>
      <c r="AP56" s="735">
        <f t="shared" si="88"/>
        <v>310009</v>
      </c>
      <c r="AQ56" s="735">
        <f t="shared" si="88"/>
        <v>310009</v>
      </c>
      <c r="AR56" s="735">
        <f t="shared" si="88"/>
        <v>310009</v>
      </c>
      <c r="AS56" s="735">
        <f t="shared" si="88"/>
        <v>310009</v>
      </c>
      <c r="AT56" s="735">
        <f t="shared" si="88"/>
        <v>310009</v>
      </c>
      <c r="AU56" s="735">
        <f t="shared" si="88"/>
        <v>310009</v>
      </c>
      <c r="AV56" s="735">
        <f t="shared" si="88"/>
        <v>310009</v>
      </c>
      <c r="AW56" s="735">
        <f t="shared" si="88"/>
        <v>310009</v>
      </c>
      <c r="AX56" s="735">
        <f t="shared" si="88"/>
        <v>310009</v>
      </c>
      <c r="AY56" s="735">
        <f t="shared" si="88"/>
        <v>310009</v>
      </c>
      <c r="AZ56" s="735">
        <f t="shared" si="88"/>
        <v>310009</v>
      </c>
      <c r="BA56" s="735">
        <f t="shared" si="88"/>
        <v>310009</v>
      </c>
      <c r="BB56" s="735">
        <f t="shared" si="88"/>
        <v>310009</v>
      </c>
      <c r="BC56" s="735">
        <f t="shared" si="88"/>
        <v>310009</v>
      </c>
      <c r="BD56" s="735">
        <f t="shared" si="88"/>
        <v>310009</v>
      </c>
      <c r="BE56" s="735">
        <f t="shared" si="88"/>
        <v>310009</v>
      </c>
      <c r="BF56" s="735">
        <f t="shared" si="88"/>
        <v>310009</v>
      </c>
      <c r="BG56" s="735">
        <f t="shared" si="88"/>
        <v>310009</v>
      </c>
      <c r="BH56" s="735">
        <f t="shared" si="88"/>
        <v>310009</v>
      </c>
      <c r="BI56" s="735">
        <f t="shared" si="88"/>
        <v>310009</v>
      </c>
    </row>
    <row r="57" spans="2:62" ht="20.25">
      <c r="B57" s="441" t="s">
        <v>19</v>
      </c>
      <c r="C57" s="441"/>
      <c r="D57" s="441"/>
      <c r="E57" s="441"/>
      <c r="F57" s="441"/>
      <c r="G57" s="532"/>
      <c r="H57" s="532"/>
      <c r="I57" s="443"/>
      <c r="J57" s="445"/>
      <c r="AA57" s="298" t="s">
        <v>181</v>
      </c>
      <c r="AE57" s="298">
        <v>0</v>
      </c>
      <c r="AF57" s="735">
        <f t="shared" ref="AF57:BI57" si="89">AF36</f>
        <v>0</v>
      </c>
      <c r="AG57" s="735">
        <f t="shared" si="89"/>
        <v>0</v>
      </c>
      <c r="AH57" s="735">
        <f t="shared" si="89"/>
        <v>0</v>
      </c>
      <c r="AI57" s="735">
        <f t="shared" si="89"/>
        <v>0</v>
      </c>
      <c r="AJ57" s="735">
        <f t="shared" si="89"/>
        <v>0</v>
      </c>
      <c r="AK57" s="735">
        <f t="shared" si="89"/>
        <v>0</v>
      </c>
      <c r="AL57" s="735">
        <f t="shared" si="89"/>
        <v>0</v>
      </c>
      <c r="AM57" s="735">
        <f t="shared" si="89"/>
        <v>0</v>
      </c>
      <c r="AN57" s="735">
        <f t="shared" si="89"/>
        <v>0</v>
      </c>
      <c r="AO57" s="735">
        <f t="shared" si="89"/>
        <v>0</v>
      </c>
      <c r="AP57" s="735">
        <f t="shared" si="89"/>
        <v>-23842.492427724777</v>
      </c>
      <c r="AQ57" s="735">
        <f t="shared" si="89"/>
        <v>-47684.984855449708</v>
      </c>
      <c r="AR57" s="735">
        <f t="shared" si="89"/>
        <v>-71527.477283174638</v>
      </c>
      <c r="AS57" s="735">
        <f t="shared" si="89"/>
        <v>-95369.969710899575</v>
      </c>
      <c r="AT57" s="735">
        <f t="shared" si="89"/>
        <v>-119212.46213862451</v>
      </c>
      <c r="AU57" s="735">
        <f t="shared" si="89"/>
        <v>-143054.95456634945</v>
      </c>
      <c r="AV57" s="735">
        <f t="shared" si="89"/>
        <v>-166897.44699407439</v>
      </c>
      <c r="AW57" s="735">
        <f t="shared" si="89"/>
        <v>-190739.93942179932</v>
      </c>
      <c r="AX57" s="735">
        <f t="shared" si="89"/>
        <v>-214582.43184952426</v>
      </c>
      <c r="AY57" s="735">
        <f t="shared" si="89"/>
        <v>-238424.9242772492</v>
      </c>
      <c r="AZ57" s="735">
        <f t="shared" si="89"/>
        <v>-262267.41670497414</v>
      </c>
      <c r="BA57" s="735">
        <f t="shared" si="89"/>
        <v>-286109.90913269907</v>
      </c>
      <c r="BB57" s="735">
        <f t="shared" si="89"/>
        <v>-309952.40156042401</v>
      </c>
      <c r="BC57" s="735">
        <f t="shared" si="89"/>
        <v>-333794.89398814895</v>
      </c>
      <c r="BD57" s="735">
        <f t="shared" si="89"/>
        <v>-357637.38641587389</v>
      </c>
      <c r="BE57" s="735">
        <f t="shared" si="89"/>
        <v>-381479.87884359882</v>
      </c>
      <c r="BF57" s="735">
        <f t="shared" si="89"/>
        <v>-405322.37127132376</v>
      </c>
      <c r="BG57" s="735">
        <f t="shared" si="89"/>
        <v>-429164.8636990487</v>
      </c>
      <c r="BH57" s="735">
        <f t="shared" si="89"/>
        <v>-453007.35612677364</v>
      </c>
      <c r="BI57" s="735">
        <f t="shared" si="89"/>
        <v>-476849.84855449857</v>
      </c>
    </row>
    <row r="58" spans="2:62" ht="20.25">
      <c r="B58" s="507" t="s">
        <v>329</v>
      </c>
      <c r="C58" s="533">
        <f>C18*'Talking Point Statistics'!B52</f>
        <v>17622.5</v>
      </c>
      <c r="D58" s="509"/>
      <c r="E58" s="295"/>
      <c r="F58" s="533">
        <f>IF(F18=0,0,(I18*'Talking Point Statistics'!B52-C58))</f>
        <v>158602.5</v>
      </c>
      <c r="G58" s="509"/>
      <c r="H58" s="509"/>
      <c r="I58" s="510">
        <f t="shared" ref="I58:I61" si="90">C58+F58</f>
        <v>176225</v>
      </c>
      <c r="J58" s="511" t="s">
        <v>328</v>
      </c>
      <c r="L58" s="292"/>
      <c r="M58" s="267"/>
      <c r="N58" s="267"/>
      <c r="O58" s="267"/>
      <c r="P58" s="267"/>
    </row>
    <row r="59" spans="2:62" ht="20.25">
      <c r="B59" s="512" t="s">
        <v>289</v>
      </c>
      <c r="C59" s="513">
        <f>C58*'Talking Point Statistics'!B40/'Talking Point Statistics'!B52</f>
        <v>13544.9</v>
      </c>
      <c r="D59" s="509"/>
      <c r="E59" s="509"/>
      <c r="F59" s="513">
        <f>F58*'Talking Point Statistics'!B40/'Talking Point Statistics'!B52</f>
        <v>121904.1</v>
      </c>
      <c r="G59" s="509"/>
      <c r="H59" s="509"/>
      <c r="I59" s="514">
        <f t="shared" si="90"/>
        <v>135449</v>
      </c>
      <c r="J59" s="512"/>
      <c r="L59" s="292"/>
      <c r="M59" s="267"/>
      <c r="N59" s="267"/>
      <c r="O59" s="267"/>
      <c r="P59" s="267"/>
    </row>
    <row r="60" spans="2:62" ht="20.25">
      <c r="B60" s="512" t="s">
        <v>290</v>
      </c>
      <c r="C60" s="513">
        <f>C58*'Talking Point Statistics'!B51/'Talking Point Statistics'!B52</f>
        <v>4077.6</v>
      </c>
      <c r="D60" s="509"/>
      <c r="E60" s="509"/>
      <c r="F60" s="513">
        <f>F58*'Talking Point Statistics'!B51/'Talking Point Statistics'!B52</f>
        <v>36698.400000000001</v>
      </c>
      <c r="G60" s="509"/>
      <c r="H60" s="509"/>
      <c r="I60" s="514">
        <f t="shared" si="90"/>
        <v>40776</v>
      </c>
      <c r="J60" s="512"/>
      <c r="L60" s="293"/>
      <c r="M60" s="293"/>
      <c r="N60" s="293"/>
      <c r="O60" s="293"/>
      <c r="P60" s="294"/>
    </row>
    <row r="61" spans="2:62" ht="20.25">
      <c r="B61" s="512" t="s">
        <v>288</v>
      </c>
      <c r="C61" s="515">
        <f>C58*'Talking Point Statistics'!B8</f>
        <v>3910.1730551795727</v>
      </c>
      <c r="D61" s="509"/>
      <c r="E61" s="509"/>
      <c r="F61" s="515">
        <f>C58*'Talking Point Statistics'!B8</f>
        <v>3910.1730551795727</v>
      </c>
      <c r="G61" s="509"/>
      <c r="H61" s="509"/>
      <c r="I61" s="516">
        <f t="shared" si="90"/>
        <v>7820.3461103591453</v>
      </c>
      <c r="J61" s="512"/>
      <c r="L61" s="265"/>
      <c r="M61" s="529"/>
      <c r="N61" s="529"/>
      <c r="O61" s="529"/>
      <c r="P61" s="529"/>
    </row>
    <row r="62" spans="2:62" ht="21" thickBot="1">
      <c r="B62" s="512" t="s">
        <v>287</v>
      </c>
      <c r="C62" s="515">
        <f>C58*'Buildings Data'!$A$107</f>
        <v>2185.7812360446305</v>
      </c>
      <c r="D62" s="509"/>
      <c r="E62" s="509"/>
      <c r="F62" s="515">
        <f>C58*'Buildings Data'!$A$107</f>
        <v>2185.7812360446305</v>
      </c>
      <c r="G62" s="509"/>
      <c r="H62" s="509"/>
      <c r="I62" s="516">
        <f>C62+F62</f>
        <v>4371.5624720892611</v>
      </c>
      <c r="J62" s="512"/>
      <c r="L62" s="530"/>
      <c r="M62" s="531"/>
      <c r="N62" s="531"/>
      <c r="O62" s="531"/>
      <c r="P62" s="531"/>
    </row>
    <row r="63" spans="2:62" ht="27" thickBot="1">
      <c r="B63" s="512" t="s">
        <v>324</v>
      </c>
      <c r="C63" s="517">
        <v>5800</v>
      </c>
      <c r="D63" s="509"/>
      <c r="E63" s="509"/>
      <c r="F63" s="517">
        <v>5800</v>
      </c>
      <c r="G63" s="509"/>
      <c r="H63" s="509"/>
      <c r="I63" s="516" t="s">
        <v>275</v>
      </c>
      <c r="J63" s="527" t="s">
        <v>291</v>
      </c>
      <c r="L63" s="530"/>
      <c r="M63" s="531"/>
      <c r="N63" s="531"/>
      <c r="O63" s="531"/>
      <c r="P63" s="531"/>
      <c r="V63" s="570" t="s">
        <v>486</v>
      </c>
    </row>
    <row r="64" spans="2:62" ht="23.25">
      <c r="B64" s="512" t="s">
        <v>458</v>
      </c>
      <c r="C64" s="518">
        <f>C62*C63</f>
        <v>12677531.169058857</v>
      </c>
      <c r="D64" s="509"/>
      <c r="E64" s="528"/>
      <c r="F64" s="518">
        <f>F62*F63</f>
        <v>12677531.169058857</v>
      </c>
      <c r="G64" s="509"/>
      <c r="H64" s="509"/>
      <c r="I64" s="520">
        <f>C64+F64</f>
        <v>25355062.338117715</v>
      </c>
      <c r="J64" s="512" t="s">
        <v>350</v>
      </c>
      <c r="V64" s="374" t="s">
        <v>501</v>
      </c>
    </row>
    <row r="65" spans="2:24" ht="23.25">
      <c r="B65" s="476"/>
      <c r="C65" s="422"/>
      <c r="D65" s="509"/>
      <c r="E65" s="509"/>
      <c r="F65" s="422"/>
      <c r="G65" s="509"/>
      <c r="H65" s="509"/>
      <c r="I65" s="521"/>
      <c r="J65" s="540"/>
      <c r="V65" s="627" t="s">
        <v>284</v>
      </c>
      <c r="W65" s="620"/>
      <c r="X65" s="621"/>
    </row>
    <row r="66" spans="2:24" ht="23.25">
      <c r="B66" s="441" t="s">
        <v>138</v>
      </c>
      <c r="C66" s="441"/>
      <c r="D66" s="441"/>
      <c r="E66" s="441"/>
      <c r="F66" s="441"/>
      <c r="G66" s="532"/>
      <c r="H66" s="532"/>
      <c r="I66" s="443"/>
      <c r="J66" s="445"/>
      <c r="L66" s="534"/>
      <c r="M66" s="535"/>
      <c r="N66" s="535"/>
      <c r="O66" s="535"/>
      <c r="P66" s="536"/>
      <c r="V66" s="628" t="s">
        <v>480</v>
      </c>
      <c r="W66" s="434"/>
      <c r="X66" s="622"/>
    </row>
    <row r="67" spans="2:24" ht="33.75">
      <c r="B67" s="511" t="s">
        <v>138</v>
      </c>
      <c r="C67" s="510">
        <f>C20*'Talking Point Statistics'!B22</f>
        <v>3805.7000000000003</v>
      </c>
      <c r="D67" s="523"/>
      <c r="E67" s="523"/>
      <c r="F67" s="510">
        <f>IF(F20=0,0,(I20*'Talking Point Statistics'!B22)-C67)</f>
        <v>34251.300000000003</v>
      </c>
      <c r="G67" s="541"/>
      <c r="H67" s="541"/>
      <c r="I67" s="510">
        <f>C67+F67</f>
        <v>38057</v>
      </c>
      <c r="J67" s="511" t="s">
        <v>333</v>
      </c>
      <c r="Q67" s="297"/>
      <c r="V67" s="623">
        <f>AO43</f>
        <v>0.65841210533568839</v>
      </c>
      <c r="W67" s="434"/>
      <c r="X67" s="622"/>
    </row>
    <row r="68" spans="2:24">
      <c r="L68" s="537"/>
      <c r="M68" s="538"/>
      <c r="N68" s="538"/>
      <c r="O68" s="538"/>
      <c r="P68" s="539"/>
      <c r="V68" s="624"/>
      <c r="W68" s="434"/>
      <c r="X68" s="622"/>
    </row>
    <row r="69" spans="2:24" ht="23.25">
      <c r="B69" s="463" t="s">
        <v>565</v>
      </c>
      <c r="C69" s="463"/>
      <c r="D69" s="463"/>
      <c r="E69" s="463"/>
      <c r="F69" s="463"/>
      <c r="G69" s="463"/>
      <c r="H69" s="463"/>
      <c r="I69" s="463"/>
      <c r="J69" s="463"/>
      <c r="L69" s="537"/>
      <c r="M69" s="538"/>
      <c r="N69" s="538"/>
      <c r="O69" s="538"/>
      <c r="P69" s="539"/>
      <c r="V69" s="628" t="s">
        <v>285</v>
      </c>
      <c r="W69" s="434"/>
      <c r="X69" s="622"/>
    </row>
    <row r="70" spans="2:24" ht="23.25">
      <c r="B70" s="666" t="s">
        <v>552</v>
      </c>
      <c r="L70" s="537"/>
      <c r="M70" s="538"/>
      <c r="N70" s="538"/>
      <c r="O70" s="538"/>
      <c r="P70" s="539"/>
      <c r="V70" s="628" t="s">
        <v>480</v>
      </c>
      <c r="W70" s="434"/>
      <c r="X70" s="622"/>
    </row>
    <row r="71" spans="2:24" ht="24.95" customHeight="1">
      <c r="B71" s="512" t="s">
        <v>567</v>
      </c>
      <c r="C71" s="730">
        <f>'Transport Data'!AH76</f>
        <v>1.9673840720865372E-2</v>
      </c>
      <c r="D71" s="731"/>
      <c r="E71" s="731"/>
      <c r="F71" s="730">
        <f>'Transport Data'!AI76</f>
        <v>-0.13442111207941893</v>
      </c>
      <c r="J71" s="404" t="s">
        <v>583</v>
      </c>
      <c r="V71" s="625">
        <f>BI43</f>
        <v>1.0018368816934156</v>
      </c>
      <c r="W71" s="626"/>
      <c r="X71" s="336"/>
    </row>
    <row r="72" spans="2:24" ht="30.95" customHeight="1">
      <c r="L72" s="537"/>
      <c r="M72" s="538"/>
      <c r="N72" s="538"/>
      <c r="O72" s="538"/>
      <c r="P72" s="539"/>
      <c r="V72" s="374" t="s">
        <v>502</v>
      </c>
    </row>
    <row r="73" spans="2:24" ht="24.95" customHeight="1">
      <c r="B73" s="466" t="s">
        <v>574</v>
      </c>
      <c r="C73" s="466"/>
      <c r="D73" s="466"/>
      <c r="E73" s="466"/>
      <c r="F73" s="466"/>
      <c r="G73" s="551"/>
      <c r="H73" s="551"/>
      <c r="I73" s="468"/>
      <c r="J73" s="466"/>
      <c r="L73" s="534"/>
      <c r="M73" s="535"/>
      <c r="N73" s="535"/>
      <c r="O73" s="535"/>
      <c r="P73" s="542"/>
      <c r="V73" s="627" t="s">
        <v>284</v>
      </c>
      <c r="W73" s="620"/>
      <c r="X73" s="621"/>
    </row>
    <row r="74" spans="2:24" ht="23.25">
      <c r="B74" s="666" t="s">
        <v>552</v>
      </c>
      <c r="C74" s="510">
        <f>ROUND('Transport Data'!V76,-3)</f>
        <v>200000</v>
      </c>
      <c r="D74" s="667"/>
      <c r="E74" s="667"/>
      <c r="F74" s="510">
        <f>ROUND('Transport Data'!W76,-3)</f>
        <v>390000</v>
      </c>
      <c r="G74" s="668"/>
      <c r="H74" s="668"/>
      <c r="I74" s="510">
        <f>C74+F74</f>
        <v>590000</v>
      </c>
      <c r="J74" s="511" t="s">
        <v>252</v>
      </c>
      <c r="L74" s="545"/>
      <c r="M74" s="546"/>
      <c r="N74" s="546"/>
      <c r="O74" s="546"/>
      <c r="P74" s="547"/>
      <c r="V74" s="628" t="s">
        <v>481</v>
      </c>
      <c r="W74" s="434"/>
      <c r="X74" s="622"/>
    </row>
    <row r="75" spans="2:24" ht="27.95" customHeight="1" thickBot="1">
      <c r="B75" s="512" t="s">
        <v>330</v>
      </c>
      <c r="C75" s="515">
        <f>ROUND(C74*'Talking Point Statistics'!D72,-3)</f>
        <v>10000</v>
      </c>
      <c r="D75" s="509"/>
      <c r="E75" s="509"/>
      <c r="F75" s="515">
        <f>ROUND(F74*'Talking Point Statistics'!D72,-3)</f>
        <v>19000</v>
      </c>
      <c r="G75" s="550"/>
      <c r="H75" s="550"/>
      <c r="I75" s="552">
        <f>ROUND(I74*'Talking Point Statistics'!D72,-3)</f>
        <v>29000</v>
      </c>
      <c r="J75" s="512" t="s">
        <v>296</v>
      </c>
      <c r="L75" s="534"/>
      <c r="M75" s="535"/>
      <c r="N75" s="535"/>
      <c r="O75" s="535"/>
      <c r="P75" s="536"/>
      <c r="V75" s="623">
        <f>AO45</f>
        <v>0.60335510662071012</v>
      </c>
      <c r="W75" s="434"/>
      <c r="X75" s="622"/>
    </row>
    <row r="76" spans="2:24" ht="26.1" customHeight="1" thickBot="1">
      <c r="B76" s="512" t="s">
        <v>323</v>
      </c>
      <c r="C76" s="517">
        <v>10000</v>
      </c>
      <c r="D76" s="509"/>
      <c r="E76" s="509"/>
      <c r="F76" s="517">
        <v>10000</v>
      </c>
      <c r="G76" s="509"/>
      <c r="H76" s="509"/>
      <c r="I76" s="516" t="s">
        <v>275</v>
      </c>
      <c r="J76" s="527" t="s">
        <v>582</v>
      </c>
      <c r="L76" s="545"/>
      <c r="M76" s="546"/>
      <c r="N76" s="546"/>
      <c r="O76" s="546"/>
      <c r="P76" s="547"/>
      <c r="V76" s="624"/>
      <c r="W76" s="434"/>
      <c r="X76" s="622"/>
    </row>
    <row r="77" spans="2:24" ht="23.25">
      <c r="B77" s="512" t="s">
        <v>459</v>
      </c>
      <c r="C77" s="515">
        <f>C75*C76</f>
        <v>100000000</v>
      </c>
      <c r="D77" s="509"/>
      <c r="E77" s="509"/>
      <c r="F77" s="515">
        <f t="shared" ref="F77" si="91">F75*F76</f>
        <v>190000000</v>
      </c>
      <c r="G77" s="550"/>
      <c r="H77" s="550"/>
      <c r="I77" s="520">
        <f>C77+F77</f>
        <v>290000000</v>
      </c>
      <c r="J77" s="512" t="s">
        <v>350</v>
      </c>
      <c r="L77" s="534"/>
      <c r="M77" s="297"/>
      <c r="N77" s="535"/>
      <c r="O77" s="535"/>
      <c r="P77" s="536"/>
      <c r="V77" s="654" t="s">
        <v>285</v>
      </c>
      <c r="W77" s="663"/>
      <c r="X77" s="653"/>
    </row>
    <row r="78" spans="2:24" ht="12.95" customHeight="1">
      <c r="B78" s="476"/>
      <c r="C78" s="422"/>
      <c r="D78" s="509"/>
      <c r="E78" s="509"/>
      <c r="F78" s="422"/>
      <c r="G78" s="543"/>
      <c r="H78" s="543"/>
      <c r="I78" s="544"/>
      <c r="J78" s="404"/>
      <c r="L78" s="537"/>
      <c r="M78" s="538"/>
      <c r="N78" s="538"/>
      <c r="O78" s="538"/>
      <c r="P78" s="539"/>
      <c r="V78" s="654" t="s">
        <v>481</v>
      </c>
      <c r="W78" s="663"/>
      <c r="X78" s="653"/>
    </row>
    <row r="79" spans="2:24" ht="33.75">
      <c r="B79" s="477" t="s">
        <v>576</v>
      </c>
      <c r="C79" s="477"/>
      <c r="D79" s="477"/>
      <c r="E79" s="477"/>
      <c r="F79" s="477"/>
      <c r="G79" s="553"/>
      <c r="H79" s="553"/>
      <c r="I79" s="479"/>
      <c r="J79" s="477"/>
      <c r="L79" s="537"/>
      <c r="M79" s="538"/>
      <c r="N79" s="538"/>
      <c r="O79" s="538"/>
      <c r="P79" s="539"/>
      <c r="V79" s="655">
        <f>BI45</f>
        <v>1.0021329495418776</v>
      </c>
      <c r="W79" s="656"/>
      <c r="X79" s="657"/>
    </row>
    <row r="80" spans="2:24" ht="23.25">
      <c r="B80" s="666" t="s">
        <v>321</v>
      </c>
      <c r="C80" s="510">
        <f>ROUND('Transport Data'!AC76,-3)</f>
        <v>7000</v>
      </c>
      <c r="D80" s="667"/>
      <c r="E80" s="667"/>
      <c r="F80" s="510">
        <f>ROUND('Transport Data'!AD76,-3)</f>
        <v>10000</v>
      </c>
      <c r="G80" s="668"/>
      <c r="H80" s="668"/>
      <c r="I80" s="510">
        <f>C80+F80</f>
        <v>17000</v>
      </c>
      <c r="J80" s="511" t="s">
        <v>252</v>
      </c>
      <c r="L80" s="548"/>
      <c r="Q80" s="297"/>
      <c r="V80" s="658" t="s">
        <v>532</v>
      </c>
      <c r="W80" s="652"/>
      <c r="X80" s="652"/>
    </row>
    <row r="81" spans="2:117" ht="23.1" customHeight="1">
      <c r="B81" s="404"/>
      <c r="C81" s="404"/>
      <c r="D81" s="509"/>
      <c r="E81" s="509"/>
      <c r="F81" s="404"/>
      <c r="G81" s="558"/>
      <c r="H81" s="558"/>
      <c r="I81" s="408"/>
      <c r="J81" s="404"/>
      <c r="L81" s="545"/>
      <c r="M81" s="546"/>
      <c r="N81" s="546"/>
      <c r="O81" s="546"/>
      <c r="P81" s="547"/>
      <c r="V81" s="659" t="s">
        <v>284</v>
      </c>
      <c r="W81" s="660"/>
      <c r="X81" s="661"/>
    </row>
    <row r="82" spans="2:117" ht="30.95" customHeight="1">
      <c r="B82" s="482" t="s">
        <v>181</v>
      </c>
      <c r="C82" s="482"/>
      <c r="D82" s="482"/>
      <c r="E82" s="482"/>
      <c r="F82" s="482"/>
      <c r="G82" s="559"/>
      <c r="H82" s="559"/>
      <c r="I82" s="484"/>
      <c r="J82" s="482"/>
      <c r="L82" s="545"/>
      <c r="M82" s="546"/>
      <c r="N82" s="546"/>
      <c r="O82" s="546"/>
      <c r="P82" s="547"/>
      <c r="V82" s="654" t="s">
        <v>482</v>
      </c>
      <c r="W82" s="652"/>
      <c r="X82" s="653"/>
    </row>
    <row r="83" spans="2:117" ht="33.75">
      <c r="B83" s="549" t="s">
        <v>322</v>
      </c>
      <c r="C83" s="510">
        <f>'Forest C-Storage Data'!B31*C36</f>
        <v>0</v>
      </c>
      <c r="D83" s="523"/>
      <c r="E83" s="523"/>
      <c r="F83" s="510">
        <f>IF(F36=0,0,('Forest C-Storage Data'!B31*I36)-C83)</f>
        <v>99176</v>
      </c>
      <c r="G83" s="523"/>
      <c r="H83" s="523"/>
      <c r="I83" s="510">
        <f>C83+F83</f>
        <v>99176</v>
      </c>
      <c r="J83" s="511" t="s">
        <v>325</v>
      </c>
      <c r="L83" s="545"/>
      <c r="M83" s="546"/>
      <c r="N83" s="546"/>
      <c r="O83" s="546"/>
      <c r="P83" s="547"/>
      <c r="V83" s="662">
        <f>AO47</f>
        <v>0.51618469339027118</v>
      </c>
      <c r="W83" s="652"/>
      <c r="X83" s="653"/>
    </row>
    <row r="84" spans="2:117" ht="12.95" customHeight="1">
      <c r="L84" s="548"/>
      <c r="V84" s="651"/>
      <c r="W84" s="652"/>
      <c r="X84" s="653"/>
    </row>
    <row r="85" spans="2:117" s="297" customFormat="1" ht="23.25">
      <c r="V85" s="654" t="s">
        <v>285</v>
      </c>
      <c r="W85" s="652"/>
      <c r="X85" s="653"/>
      <c r="AA85" s="490"/>
      <c r="AE85" s="490"/>
      <c r="AF85" s="490"/>
      <c r="AG85" s="490"/>
      <c r="AH85" s="490"/>
      <c r="AI85" s="490"/>
      <c r="AJ85" s="490"/>
      <c r="AK85" s="490"/>
      <c r="AL85" s="490"/>
      <c r="AM85" s="490"/>
      <c r="AN85" s="490"/>
      <c r="AO85" s="268"/>
      <c r="AP85" s="490"/>
      <c r="AQ85" s="490"/>
      <c r="AR85" s="490"/>
      <c r="AS85" s="490"/>
      <c r="AT85" s="490"/>
      <c r="AU85" s="490"/>
      <c r="AV85" s="490"/>
      <c r="AW85" s="490"/>
      <c r="AX85" s="490"/>
      <c r="AY85" s="490"/>
      <c r="AZ85" s="490"/>
      <c r="BA85" s="490"/>
      <c r="BB85" s="490"/>
      <c r="BC85" s="490"/>
      <c r="BD85" s="490"/>
      <c r="BE85" s="490"/>
      <c r="BF85" s="490"/>
      <c r="BG85" s="490"/>
      <c r="BH85" s="490"/>
      <c r="BI85" s="268"/>
      <c r="BU85" s="490"/>
      <c r="CI85" s="267"/>
      <c r="DC85" s="267"/>
    </row>
    <row r="86" spans="2:117" ht="23.25">
      <c r="V86" s="654" t="s">
        <v>482</v>
      </c>
      <c r="W86" s="652"/>
      <c r="X86" s="653"/>
    </row>
    <row r="87" spans="2:117" s="554" customFormat="1" ht="33.75">
      <c r="K87" s="555"/>
      <c r="V87" s="655">
        <f>BI47</f>
        <v>1.0026017065990556</v>
      </c>
      <c r="W87" s="656"/>
      <c r="X87" s="657"/>
      <c r="AA87" s="556"/>
      <c r="AE87" s="556"/>
      <c r="AF87" s="556"/>
      <c r="AG87" s="556"/>
      <c r="AH87" s="556"/>
      <c r="AI87" s="556"/>
      <c r="AJ87" s="556"/>
      <c r="AK87" s="556"/>
      <c r="AL87" s="556"/>
      <c r="AM87" s="556"/>
      <c r="AN87" s="556"/>
      <c r="AO87" s="619"/>
      <c r="AP87" s="556"/>
      <c r="AQ87" s="556"/>
      <c r="AR87" s="556"/>
      <c r="AS87" s="556"/>
      <c r="AT87" s="556"/>
      <c r="AU87" s="556"/>
      <c r="AV87" s="556"/>
      <c r="AW87" s="556"/>
      <c r="AX87" s="556"/>
      <c r="AY87" s="556"/>
      <c r="AZ87" s="556"/>
      <c r="BA87" s="556"/>
      <c r="BB87" s="556"/>
      <c r="BC87" s="556"/>
      <c r="BD87" s="556"/>
      <c r="BE87" s="556"/>
      <c r="BF87" s="556"/>
      <c r="BG87" s="556"/>
      <c r="BH87" s="556"/>
      <c r="BI87" s="619"/>
      <c r="BU87" s="556"/>
      <c r="CI87" s="557"/>
      <c r="DC87" s="557"/>
      <c r="DI87" s="555"/>
      <c r="DM87" s="555"/>
    </row>
    <row r="91" spans="2:117" ht="20.25">
      <c r="B91" s="560"/>
      <c r="C91" s="560"/>
      <c r="D91" s="296"/>
      <c r="E91" s="296"/>
      <c r="F91" s="560"/>
      <c r="G91" s="560"/>
      <c r="H91" s="296"/>
      <c r="I91" s="296"/>
      <c r="J91" s="512"/>
    </row>
    <row r="98" ht="9" customHeight="1"/>
    <row r="106" ht="11.1" customHeight="1"/>
    <row r="114" ht="9.9499999999999993" customHeight="1"/>
  </sheetData>
  <sheetProtection algorithmName="SHA-512" hashValue="c/XZ+ajS4GnB0y4XzmvKEc6M+G4ln5luWCULQBq3YhHMZckosx6gkvbnMc536rZd9q04ft7DsMvYZK3VbdhVDA==" saltValue="lb1ywF4wDuNXHsoWkpRDeg==" spinCount="100000" sheet="1" objects="1" scenarios="1"/>
  <conditionalFormatting sqref="H8">
    <cfRule type="cellIs" dxfId="29" priority="33" operator="between">
      <formula>0.51</formula>
      <formula>1</formula>
    </cfRule>
  </conditionalFormatting>
  <conditionalFormatting sqref="I8">
    <cfRule type="cellIs" dxfId="28" priority="26" operator="greaterThan">
      <formula>0.5</formula>
    </cfRule>
    <cfRule type="cellIs" dxfId="27" priority="32" operator="between">
      <formula>0.51</formula>
      <formula>1</formula>
    </cfRule>
  </conditionalFormatting>
  <conditionalFormatting sqref="I10">
    <cfRule type="cellIs" dxfId="26" priority="25" operator="greaterThan">
      <formula>0.5</formula>
    </cfRule>
    <cfRule type="cellIs" dxfId="25" priority="31" operator="greaterThan">
      <formula>50</formula>
    </cfRule>
  </conditionalFormatting>
  <conditionalFormatting sqref="I14">
    <cfRule type="cellIs" dxfId="24" priority="23" operator="greaterThan">
      <formula>1</formula>
    </cfRule>
    <cfRule type="cellIs" dxfId="23" priority="24" operator="greaterThan">
      <formula>1</formula>
    </cfRule>
    <cfRule type="cellIs" dxfId="22" priority="30" operator="greaterThan">
      <formula>100</formula>
    </cfRule>
  </conditionalFormatting>
  <conditionalFormatting sqref="I18">
    <cfRule type="cellIs" dxfId="21" priority="22" operator="greaterThan">
      <formula>1</formula>
    </cfRule>
    <cfRule type="cellIs" dxfId="20" priority="29" operator="greaterThan">
      <formula>100</formula>
    </cfRule>
  </conditionalFormatting>
  <conditionalFormatting sqref="I20">
    <cfRule type="cellIs" dxfId="19" priority="21" operator="greaterThan">
      <formula>1</formula>
    </cfRule>
    <cfRule type="cellIs" dxfId="18" priority="28" operator="greaterThan">
      <formula>100</formula>
    </cfRule>
  </conditionalFormatting>
  <conditionalFormatting sqref="I16">
    <cfRule type="cellIs" dxfId="17" priority="27" operator="greaterThan">
      <formula>100</formula>
    </cfRule>
  </conditionalFormatting>
  <conditionalFormatting sqref="I30">
    <cfRule type="cellIs" dxfId="16" priority="19" operator="greaterThan">
      <formula>1</formula>
    </cfRule>
  </conditionalFormatting>
  <conditionalFormatting sqref="I32">
    <cfRule type="cellIs" dxfId="15" priority="18" operator="greaterThan">
      <formula>1</formula>
    </cfRule>
  </conditionalFormatting>
  <conditionalFormatting sqref="I34">
    <cfRule type="cellIs" dxfId="14" priority="17" operator="greaterThan">
      <formula>1</formula>
    </cfRule>
  </conditionalFormatting>
  <conditionalFormatting sqref="I36">
    <cfRule type="cellIs" dxfId="13" priority="16" operator="greaterThan">
      <formula>1</formula>
    </cfRule>
  </conditionalFormatting>
  <conditionalFormatting sqref="C14">
    <cfRule type="cellIs" dxfId="12" priority="14" operator="lessThan">
      <formula>0.53</formula>
    </cfRule>
    <cfRule type="cellIs" dxfId="11" priority="15" operator="greaterThan">
      <formula>1</formula>
    </cfRule>
  </conditionalFormatting>
  <conditionalFormatting sqref="I12">
    <cfRule type="cellIs" dxfId="10" priority="11" operator="greaterThan">
      <formula>0.5</formula>
    </cfRule>
  </conditionalFormatting>
  <conditionalFormatting sqref="F14">
    <cfRule type="cellIs" dxfId="9" priority="10" operator="greaterThan">
      <formula>0.47</formula>
    </cfRule>
  </conditionalFormatting>
  <conditionalFormatting sqref="C12">
    <cfRule type="cellIs" dxfId="8" priority="9" operator="greaterThan">
      <formula>0.5</formula>
    </cfRule>
  </conditionalFormatting>
  <conditionalFormatting sqref="I22">
    <cfRule type="cellIs" dxfId="7" priority="7" operator="greaterThan">
      <formula>0.3</formula>
    </cfRule>
    <cfRule type="cellIs" dxfId="6" priority="8" operator="greaterThan">
      <formula>30</formula>
    </cfRule>
  </conditionalFormatting>
  <conditionalFormatting sqref="I21:I23">
    <cfRule type="cellIs" dxfId="5" priority="5" operator="greaterThan">
      <formula>0.3</formula>
    </cfRule>
    <cfRule type="cellIs" dxfId="4" priority="6" operator="greaterThan">
      <formula>30</formula>
    </cfRule>
  </conditionalFormatting>
  <conditionalFormatting sqref="I24">
    <cfRule type="cellIs" dxfId="3" priority="3" operator="greaterThan">
      <formula>1</formula>
    </cfRule>
    <cfRule type="cellIs" dxfId="2" priority="4" operator="greaterThan">
      <formula>100</formula>
    </cfRule>
  </conditionalFormatting>
  <conditionalFormatting sqref="G24:H24 D24:E24">
    <cfRule type="cellIs" dxfId="1" priority="1" operator="greaterThan">
      <formula>1</formula>
    </cfRule>
    <cfRule type="cellIs" dxfId="0" priority="2" operator="greaterThan">
      <formula>100</formula>
    </cfRule>
  </conditionalFormatting>
  <dataValidations count="2">
    <dataValidation type="list" allowBlank="1" showInputMessage="1" showErrorMessage="1" sqref="C21:C23 F21:F23" xr:uid="{E1024504-D2C9-754C-AD24-E06EFE52FD88}">
      <formula1>$DU$3:$DU$4</formula1>
    </dataValidation>
    <dataValidation type="list" allowBlank="1" showInputMessage="1" showErrorMessage="1" sqref="B28" xr:uid="{4C13B1B5-2384-F34E-812C-F67FDA24CF55}">
      <formula1>$DT$3:$DT$8</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77133-5672-4DEC-8B69-A5263DCBD8E9}">
  <dimension ref="A1:BG45"/>
  <sheetViews>
    <sheetView zoomScale="71" zoomScaleNormal="71" workbookViewId="0">
      <selection activeCell="S34" sqref="S34"/>
    </sheetView>
  </sheetViews>
  <sheetFormatPr defaultRowHeight="15.75"/>
  <cols>
    <col min="1" max="1" width="32.75" bestFit="1" customWidth="1"/>
    <col min="2" max="2" width="21.875" bestFit="1" customWidth="1"/>
    <col min="3" max="3" width="13" bestFit="1" customWidth="1"/>
    <col min="4" max="4" width="10.75" bestFit="1" customWidth="1"/>
    <col min="5" max="5" width="9.25" bestFit="1" customWidth="1"/>
    <col min="7" max="7" width="15.75" customWidth="1"/>
    <col min="8" max="8" width="14.5" bestFit="1" customWidth="1"/>
    <col min="9" max="9" width="9.5" bestFit="1" customWidth="1"/>
    <col min="10" max="10" width="9.5" customWidth="1"/>
    <col min="11" max="11" width="9.5" hidden="1" customWidth="1"/>
    <col min="12" max="12" width="14.25" style="71" hidden="1" customWidth="1"/>
    <col min="13" max="13" width="16.125" hidden="1" customWidth="1"/>
    <col min="14" max="14" width="17.875" hidden="1" customWidth="1"/>
    <col min="15" max="15" width="45.125" style="71" bestFit="1" customWidth="1"/>
    <col min="16" max="16" width="36.25" customWidth="1"/>
    <col min="17" max="17" width="10.125" customWidth="1"/>
    <col min="18" max="18" width="30" customWidth="1"/>
    <col min="19" max="19" width="23.25" customWidth="1"/>
    <col min="22" max="22" width="12.125" bestFit="1" customWidth="1"/>
    <col min="23" max="23" width="12.625" bestFit="1" customWidth="1"/>
    <col min="24" max="26" width="12.625" customWidth="1"/>
    <col min="27" max="27" width="19.125" customWidth="1"/>
    <col min="28" max="28" width="24.75" bestFit="1" customWidth="1"/>
    <col min="29" max="32" width="12.625" customWidth="1"/>
    <col min="33" max="33" width="10.625" bestFit="1" customWidth="1"/>
    <col min="34" max="48" width="10.75" bestFit="1" customWidth="1"/>
    <col min="49" max="52" width="9.125" bestFit="1" customWidth="1"/>
    <col min="53" max="53" width="5.375" bestFit="1" customWidth="1"/>
    <col min="56" max="56" width="12.5" hidden="1" customWidth="1"/>
    <col min="57" max="58" width="10.125" bestFit="1" customWidth="1"/>
  </cols>
  <sheetData>
    <row r="1" spans="1:59" ht="16.5" thickBot="1">
      <c r="A1" s="836" t="s">
        <v>681</v>
      </c>
      <c r="B1" s="836"/>
      <c r="C1" s="836"/>
      <c r="D1" s="836"/>
      <c r="E1" s="836"/>
      <c r="G1" s="5" t="s">
        <v>682</v>
      </c>
      <c r="O1" s="818" t="s">
        <v>683</v>
      </c>
      <c r="R1" s="5" t="s">
        <v>684</v>
      </c>
      <c r="V1" s="5" t="s">
        <v>686</v>
      </c>
    </row>
    <row r="2" spans="1:59">
      <c r="A2" s="828" t="s">
        <v>585</v>
      </c>
      <c r="B2" s="784" t="s">
        <v>586</v>
      </c>
      <c r="C2" s="784" t="s">
        <v>587</v>
      </c>
      <c r="D2" s="784" t="s">
        <v>588</v>
      </c>
      <c r="E2" s="829" t="s">
        <v>378</v>
      </c>
      <c r="G2" s="745"/>
      <c r="H2" s="746">
        <v>2020</v>
      </c>
      <c r="O2" s="760" t="s">
        <v>628</v>
      </c>
      <c r="P2" s="761"/>
      <c r="Q2" s="125"/>
      <c r="R2" s="745" t="s">
        <v>648</v>
      </c>
      <c r="S2" s="761"/>
      <c r="V2" t="s">
        <v>687</v>
      </c>
    </row>
    <row r="3" spans="1:59" ht="16.5" thickBot="1">
      <c r="A3" s="747" t="s">
        <v>589</v>
      </c>
      <c r="B3" s="125" t="s">
        <v>4</v>
      </c>
      <c r="C3" s="135">
        <v>2331080059</v>
      </c>
      <c r="D3" s="125" t="s">
        <v>590</v>
      </c>
      <c r="E3" s="748">
        <v>1044757</v>
      </c>
      <c r="G3" s="747" t="s">
        <v>615</v>
      </c>
      <c r="H3" s="748">
        <f>E8+E15+E23+E29+E33+E36+E38</f>
        <v>8880195</v>
      </c>
      <c r="O3" s="762">
        <v>10523632.336454885</v>
      </c>
      <c r="P3" s="749" t="s">
        <v>346</v>
      </c>
      <c r="Q3" s="125"/>
      <c r="R3" s="763">
        <v>-1776993.60578747</v>
      </c>
      <c r="S3" s="749" t="s">
        <v>629</v>
      </c>
    </row>
    <row r="4" spans="1:59">
      <c r="A4" s="747" t="s">
        <v>589</v>
      </c>
      <c r="B4" s="125" t="s">
        <v>64</v>
      </c>
      <c r="C4" s="135">
        <v>121459021</v>
      </c>
      <c r="D4" s="125" t="s">
        <v>591</v>
      </c>
      <c r="E4" s="748">
        <v>645856</v>
      </c>
      <c r="G4" s="747" t="s">
        <v>616</v>
      </c>
      <c r="H4" s="749"/>
      <c r="I4" s="741"/>
      <c r="J4" s="741"/>
      <c r="K4" s="741"/>
      <c r="L4" s="741">
        <v>2030</v>
      </c>
      <c r="O4" s="763">
        <v>8880193.8418855593</v>
      </c>
      <c r="P4" s="749" t="s">
        <v>637</v>
      </c>
      <c r="Q4" s="125"/>
      <c r="R4" s="826"/>
      <c r="S4" s="749"/>
      <c r="V4" s="745" t="s">
        <v>585</v>
      </c>
      <c r="W4" s="780">
        <v>2020</v>
      </c>
      <c r="X4" s="780">
        <v>2021</v>
      </c>
      <c r="Y4" s="780">
        <v>2022</v>
      </c>
      <c r="Z4" s="780">
        <v>2023</v>
      </c>
      <c r="AA4" s="780">
        <v>2024</v>
      </c>
      <c r="AB4" s="780">
        <v>2025</v>
      </c>
      <c r="AC4" s="780">
        <v>2026</v>
      </c>
      <c r="AD4" s="780">
        <v>2027</v>
      </c>
      <c r="AE4" s="780">
        <v>2028</v>
      </c>
      <c r="AF4" s="780">
        <v>2029</v>
      </c>
      <c r="AG4" s="780">
        <v>2030</v>
      </c>
      <c r="AH4" s="780">
        <v>2031</v>
      </c>
      <c r="AI4" s="780">
        <v>2032</v>
      </c>
      <c r="AJ4" s="780">
        <v>2033</v>
      </c>
      <c r="AK4" s="780">
        <v>2034</v>
      </c>
      <c r="AL4" s="780">
        <v>2035</v>
      </c>
      <c r="AM4" s="780">
        <v>2036</v>
      </c>
      <c r="AN4" s="780">
        <v>2037</v>
      </c>
      <c r="AO4" s="780">
        <v>2038</v>
      </c>
      <c r="AP4" s="780">
        <v>2039</v>
      </c>
      <c r="AQ4" s="780">
        <v>2040</v>
      </c>
      <c r="AR4" s="780">
        <v>2041</v>
      </c>
      <c r="AS4" s="780">
        <v>2042</v>
      </c>
      <c r="AT4" s="780">
        <v>2043</v>
      </c>
      <c r="AU4" s="780">
        <v>2044</v>
      </c>
      <c r="AV4" s="780">
        <v>2045</v>
      </c>
      <c r="AW4" s="780">
        <v>2046</v>
      </c>
      <c r="AX4" s="780">
        <v>2047</v>
      </c>
      <c r="AY4" s="780">
        <v>2048</v>
      </c>
      <c r="AZ4" s="780">
        <v>2049</v>
      </c>
      <c r="BA4" s="761">
        <v>2050</v>
      </c>
      <c r="BD4">
        <v>2050</v>
      </c>
    </row>
    <row r="5" spans="1:59">
      <c r="A5" s="747" t="s">
        <v>589</v>
      </c>
      <c r="B5" s="125" t="s">
        <v>592</v>
      </c>
      <c r="C5" s="135">
        <v>386061</v>
      </c>
      <c r="D5" s="125" t="s">
        <v>593</v>
      </c>
      <c r="E5" s="748">
        <v>28741</v>
      </c>
      <c r="G5" s="747" t="s">
        <v>617</v>
      </c>
      <c r="H5" s="748">
        <f>E3</f>
        <v>1044757</v>
      </c>
      <c r="L5" s="71">
        <f>H3*0.5</f>
        <v>4440097.5</v>
      </c>
      <c r="M5" s="3">
        <f>L5/H3-1</f>
        <v>-0.5</v>
      </c>
      <c r="O5" s="763"/>
      <c r="P5" s="749"/>
      <c r="Q5" s="125"/>
      <c r="R5" s="826">
        <f>R3*0.9</f>
        <v>-1599294.245208723</v>
      </c>
      <c r="S5" s="749" t="s">
        <v>646</v>
      </c>
      <c r="V5" s="747" t="s">
        <v>616</v>
      </c>
      <c r="W5" s="776">
        <f>H8</f>
        <v>3327630</v>
      </c>
      <c r="X5" s="776">
        <f>(($AG$5-W5)/10)+W5</f>
        <v>3094801.8828306338</v>
      </c>
      <c r="Y5" s="776">
        <f>(($AG$5-X5)/9)+X5</f>
        <v>2861973.7656612676</v>
      </c>
      <c r="Z5" s="776">
        <f>(($AG$5-Y5)/8)+Y5</f>
        <v>2629145.6484919013</v>
      </c>
      <c r="AA5" s="776">
        <f>(($AG$5-Z5)/7)+Z5</f>
        <v>2396317.5313225356</v>
      </c>
      <c r="AB5" s="776">
        <f>(($AG$5-AA5)/6)+AA5</f>
        <v>2163489.4141531698</v>
      </c>
      <c r="AC5" s="776">
        <f>(($AG$5-AB5)/5)+AB5</f>
        <v>1930661.2969838039</v>
      </c>
      <c r="AD5" s="776">
        <f>(($AG$5-AC5)/4)+AC5</f>
        <v>1697833.1798144379</v>
      </c>
      <c r="AE5" s="776">
        <f>(($AG$5-AD5)/3)+AD5</f>
        <v>1465005.0626450719</v>
      </c>
      <c r="AF5" s="776">
        <f>(($AG$5-AE5)/2)+AE5</f>
        <v>1232176.9454757059</v>
      </c>
      <c r="AG5" s="832">
        <f>S10</f>
        <v>999348.82830633968</v>
      </c>
      <c r="AH5" s="776">
        <f>(($BA$5-AG5)/20)+AG5</f>
        <v>949381.38689102267</v>
      </c>
      <c r="AI5" s="776">
        <f>(($BA5-AH5)/19)+AH5</f>
        <v>899413.94547570567</v>
      </c>
      <c r="AJ5" s="776">
        <f>(($BA5-AI5)/18)+AI5</f>
        <v>849446.50406038866</v>
      </c>
      <c r="AK5" s="776">
        <f>(($BA5-AJ5)/17)+AJ5</f>
        <v>799479.06264507165</v>
      </c>
      <c r="AL5" s="776">
        <f>(($BA5-AK5)/16)+AK5</f>
        <v>749511.62122975464</v>
      </c>
      <c r="AM5" s="776">
        <f>(($BA5-AL5)/15)+AL5</f>
        <v>699544.17981443764</v>
      </c>
      <c r="AN5" s="776">
        <f>(($BA5-AM5)/14)+AM5</f>
        <v>649576.73839912063</v>
      </c>
      <c r="AO5" s="776">
        <f>(($BA5-AN5)/13)+AN5</f>
        <v>599609.29698380362</v>
      </c>
      <c r="AP5" s="776">
        <f>(($BA5-AO5)/12)+AO5</f>
        <v>549641.85556848662</v>
      </c>
      <c r="AQ5" s="776">
        <f>(($BA5-AP5)/11)+AP5</f>
        <v>499674.41415316967</v>
      </c>
      <c r="AR5" s="776">
        <f>(($BA5-AQ5)/10)+AQ5</f>
        <v>449706.97273785272</v>
      </c>
      <c r="AS5" s="776">
        <f>(($BA5-AR5)/9)+AR5</f>
        <v>399739.53132253577</v>
      </c>
      <c r="AT5" s="776">
        <f>(($BA5-AS5)/8)+AS5</f>
        <v>349772.08990721882</v>
      </c>
      <c r="AU5" s="776">
        <f>(($BA5-AT5)/7)+AT5</f>
        <v>299804.64849190187</v>
      </c>
      <c r="AV5" s="776">
        <f>(($BA5-AU5)/6)+AU5</f>
        <v>249837.20707658489</v>
      </c>
      <c r="AW5" s="776">
        <f>(($BA5-AV5)/5)+AV5</f>
        <v>199869.76566126791</v>
      </c>
      <c r="AX5" s="776">
        <f>(($BA5-AW5)/4)+AW5</f>
        <v>149902.32424595093</v>
      </c>
      <c r="AY5" s="776">
        <f>(($BA5-AX5)/3)+AX5</f>
        <v>99934.882830633956</v>
      </c>
      <c r="AZ5" s="776">
        <f>(($BA5-AY5)/2)+AY5</f>
        <v>49967.441415316978</v>
      </c>
      <c r="BA5" s="833">
        <v>0</v>
      </c>
      <c r="BD5">
        <v>8880193.8418855593</v>
      </c>
      <c r="BE5" s="71"/>
      <c r="BF5" s="71"/>
      <c r="BG5" s="71"/>
    </row>
    <row r="6" spans="1:59" ht="16.5" thickBot="1">
      <c r="A6" s="747" t="s">
        <v>589</v>
      </c>
      <c r="B6" s="125" t="s">
        <v>113</v>
      </c>
      <c r="C6" s="135">
        <v>431455</v>
      </c>
      <c r="D6" s="125" t="s">
        <v>593</v>
      </c>
      <c r="E6" s="748">
        <v>26777</v>
      </c>
      <c r="G6" s="747" t="s">
        <v>618</v>
      </c>
      <c r="H6" s="748">
        <f>E9</f>
        <v>1684172</v>
      </c>
      <c r="O6" s="763"/>
      <c r="P6" s="749"/>
      <c r="Q6" s="125"/>
      <c r="R6" s="827">
        <f>R3*0.1</f>
        <v>-177699.360578747</v>
      </c>
      <c r="S6" s="767" t="s">
        <v>647</v>
      </c>
      <c r="V6" s="747" t="s">
        <v>584</v>
      </c>
      <c r="W6" s="776">
        <f>H13</f>
        <v>1333179</v>
      </c>
      <c r="X6" s="776">
        <f>(($AG$6-W6)/10)+W6</f>
        <v>1281935.8419768268</v>
      </c>
      <c r="Y6" s="776">
        <f>(($AG$6-X6)/9)+X6</f>
        <v>1230692.6839536536</v>
      </c>
      <c r="Z6" s="776">
        <f>(($AG$6-Y6)/8)+Y6</f>
        <v>1179449.5259304803</v>
      </c>
      <c r="AA6" s="776">
        <f>(($AG$6-Z6)/7)+Z6</f>
        <v>1128206.3679073071</v>
      </c>
      <c r="AB6" s="776">
        <f>(($AG$6-AA6)/6)+AA6</f>
        <v>1076963.2098841339</v>
      </c>
      <c r="AC6" s="776">
        <f>(($AG$6-AB6)/5)+AB6</f>
        <v>1025720.0518609608</v>
      </c>
      <c r="AD6" s="776">
        <f>(($AG$6-AC6)/4)+AC6</f>
        <v>974476.89383778768</v>
      </c>
      <c r="AE6" s="776">
        <f>(($AG$6-AD6)/3)+AD6</f>
        <v>923233.73581461457</v>
      </c>
      <c r="AF6" s="776">
        <f>(($AG$6-AE6)/2)+AE6</f>
        <v>871990.57779144146</v>
      </c>
      <c r="AG6" s="832">
        <f>S11</f>
        <v>820747.41976826836</v>
      </c>
      <c r="AH6" s="776">
        <f>(($BA$6-AG6)/20)+AG6</f>
        <v>779710.0487798549</v>
      </c>
      <c r="AI6" s="776">
        <f t="shared" ref="AI6:AI9" si="0">(($BA6-AH6)/19)+AH6</f>
        <v>738672.67779144144</v>
      </c>
      <c r="AJ6" s="776">
        <f t="shared" ref="AJ6:AJ9" si="1">(($BA6-AI6)/18)+AI6</f>
        <v>697635.30680302798</v>
      </c>
      <c r="AK6" s="776">
        <f t="shared" ref="AK6:AK9" si="2">(($BA6-AJ6)/17)+AJ6</f>
        <v>656597.93581461452</v>
      </c>
      <c r="AL6" s="776">
        <f t="shared" ref="AL6:AL9" si="3">(($BA6-AK6)/16)+AK6</f>
        <v>615560.56482620107</v>
      </c>
      <c r="AM6" s="776">
        <f t="shared" ref="AM6:AM9" si="4">(($BA6-AL6)/15)+AL6</f>
        <v>574523.19383778761</v>
      </c>
      <c r="AN6" s="776">
        <f t="shared" ref="AN6:AN9" si="5">(($BA6-AM6)/14)+AM6</f>
        <v>533485.82284937426</v>
      </c>
      <c r="AO6" s="776">
        <f t="shared" ref="AO6:AO9" si="6">(($BA6-AN6)/13)+AN6</f>
        <v>492448.45186096086</v>
      </c>
      <c r="AP6" s="776">
        <f t="shared" ref="AP6:AP9" si="7">(($BA6-AO6)/12)+AO6</f>
        <v>451411.08087254746</v>
      </c>
      <c r="AQ6" s="776">
        <f t="shared" ref="AQ6:AQ9" si="8">(($BA6-AP6)/11)+AP6</f>
        <v>410373.70988413406</v>
      </c>
      <c r="AR6" s="776">
        <f t="shared" ref="AR6:AR9" si="9">(($BA6-AQ6)/10)+AQ6</f>
        <v>369336.33889572066</v>
      </c>
      <c r="AS6" s="776">
        <f t="shared" ref="AS6:AS9" si="10">(($BA6-AR6)/9)+AR6</f>
        <v>328298.96790730726</v>
      </c>
      <c r="AT6" s="776">
        <f t="shared" ref="AT6:AT9" si="11">(($BA6-AS6)/8)+AS6</f>
        <v>287261.59691889386</v>
      </c>
      <c r="AU6" s="776">
        <f t="shared" ref="AU6:AU9" si="12">(($BA6-AT6)/7)+AT6</f>
        <v>246224.22593048046</v>
      </c>
      <c r="AV6" s="776">
        <f t="shared" ref="AV6:AV9" si="13">(($BA6-AU6)/6)+AU6</f>
        <v>205186.85494206706</v>
      </c>
      <c r="AW6" s="776">
        <f t="shared" ref="AW6:AW9" si="14">(($BA6-AV6)/5)+AV6</f>
        <v>164149.48395365366</v>
      </c>
      <c r="AX6" s="776">
        <f t="shared" ref="AX6:AX9" si="15">(($BA6-AW6)/4)+AW6</f>
        <v>123112.11296524025</v>
      </c>
      <c r="AY6" s="776">
        <f t="shared" ref="AY6:AY9" si="16">(($BA6-AX6)/3)+AX6</f>
        <v>82074.74197682683</v>
      </c>
      <c r="AZ6" s="776">
        <f t="shared" ref="AZ6:AZ9" si="17">(($BA6-AY6)/2)+AY6</f>
        <v>41037.370988413415</v>
      </c>
      <c r="BA6" s="833">
        <v>0</v>
      </c>
      <c r="BE6" s="71"/>
      <c r="BF6" s="71"/>
      <c r="BG6" s="71"/>
    </row>
    <row r="7" spans="1:59">
      <c r="A7" s="747" t="s">
        <v>589</v>
      </c>
      <c r="B7" s="125" t="s">
        <v>594</v>
      </c>
      <c r="C7" s="135">
        <v>28737</v>
      </c>
      <c r="D7" s="125" t="s">
        <v>593</v>
      </c>
      <c r="E7" s="748">
        <v>2175</v>
      </c>
      <c r="G7" s="747" t="s">
        <v>619</v>
      </c>
      <c r="H7" s="748">
        <f>E16</f>
        <v>598701</v>
      </c>
      <c r="O7" s="763">
        <f>R5</f>
        <v>-1599294.245208723</v>
      </c>
      <c r="P7" s="749" t="s">
        <v>638</v>
      </c>
      <c r="Q7" s="125"/>
      <c r="V7" s="747" t="s">
        <v>623</v>
      </c>
      <c r="W7" s="776">
        <f>H15</f>
        <v>3215985</v>
      </c>
      <c r="X7" s="776">
        <f>(($AG$7-W7)/10)+W7</f>
        <v>3034144.1404176075</v>
      </c>
      <c r="Y7" s="776">
        <f>(($AG$7-X7)/9)+X7</f>
        <v>2852303.280835215</v>
      </c>
      <c r="Z7" s="776">
        <f>(($AG$7-Y7)/8)+Y7</f>
        <v>2670462.4212528225</v>
      </c>
      <c r="AA7" s="776">
        <f>(($AG$7-Z7)/7)+Z7</f>
        <v>2488621.56167043</v>
      </c>
      <c r="AB7" s="776">
        <f>(($AG$7-AA7)/6)+AA7</f>
        <v>2306780.7020880375</v>
      </c>
      <c r="AC7" s="776">
        <f>(($AG$7-AB7)/5)+AB7</f>
        <v>2124939.842505645</v>
      </c>
      <c r="AD7" s="776">
        <f>(($AG$7-AC7)/4)+AC7</f>
        <v>1943098.9829232525</v>
      </c>
      <c r="AE7" s="776">
        <f>(($AG$7-AD7)/3)+AD7</f>
        <v>1761258.1233408602</v>
      </c>
      <c r="AF7" s="776">
        <f>(($AG$7-AE7)/2)+AE7</f>
        <v>1579417.263758468</v>
      </c>
      <c r="AG7" s="832">
        <f>S12</f>
        <v>1397576.4041760755</v>
      </c>
      <c r="AH7" s="776">
        <f>(($BA$7-AG7)/20)+AG7</f>
        <v>1327697.5839672717</v>
      </c>
      <c r="AI7" s="776">
        <f t="shared" si="0"/>
        <v>1257818.763758468</v>
      </c>
      <c r="AJ7" s="776">
        <f t="shared" si="1"/>
        <v>1187939.9435496642</v>
      </c>
      <c r="AK7" s="776">
        <f t="shared" si="2"/>
        <v>1118061.1233408605</v>
      </c>
      <c r="AL7" s="776">
        <f t="shared" si="3"/>
        <v>1048182.3031320567</v>
      </c>
      <c r="AM7" s="776">
        <f t="shared" si="4"/>
        <v>978303.48292325297</v>
      </c>
      <c r="AN7" s="776">
        <f t="shared" si="5"/>
        <v>908424.66271444922</v>
      </c>
      <c r="AO7" s="776">
        <f t="shared" si="6"/>
        <v>838545.84250564547</v>
      </c>
      <c r="AP7" s="776">
        <f t="shared" si="7"/>
        <v>768667.02229684172</v>
      </c>
      <c r="AQ7" s="776">
        <f t="shared" si="8"/>
        <v>698788.20208803797</v>
      </c>
      <c r="AR7" s="776">
        <f t="shared" si="9"/>
        <v>628909.38187923422</v>
      </c>
      <c r="AS7" s="776">
        <f t="shared" si="10"/>
        <v>559030.56167043047</v>
      </c>
      <c r="AT7" s="776">
        <f t="shared" si="11"/>
        <v>489151.74146162666</v>
      </c>
      <c r="AU7" s="776">
        <f t="shared" si="12"/>
        <v>419272.92125282285</v>
      </c>
      <c r="AV7" s="776">
        <f t="shared" si="13"/>
        <v>349394.10104401904</v>
      </c>
      <c r="AW7" s="776">
        <f t="shared" si="14"/>
        <v>279515.28083521524</v>
      </c>
      <c r="AX7" s="776">
        <f t="shared" si="15"/>
        <v>209636.46062641143</v>
      </c>
      <c r="AY7" s="776">
        <f t="shared" si="16"/>
        <v>139757.64041760762</v>
      </c>
      <c r="AZ7" s="776">
        <f t="shared" si="17"/>
        <v>69878.820208803809</v>
      </c>
      <c r="BA7" s="833">
        <v>0</v>
      </c>
      <c r="BD7">
        <v>-2432292.4401362631</v>
      </c>
      <c r="BE7" s="71"/>
      <c r="BF7" s="71"/>
      <c r="BG7" s="71"/>
    </row>
    <row r="8" spans="1:59" ht="16.5" thickBot="1">
      <c r="A8" s="747" t="s">
        <v>595</v>
      </c>
      <c r="B8" s="125"/>
      <c r="C8" s="125"/>
      <c r="D8" s="125"/>
      <c r="E8" s="748">
        <v>1748306</v>
      </c>
      <c r="G8" s="750" t="s">
        <v>643</v>
      </c>
      <c r="H8" s="751">
        <f>H7+H6+H5</f>
        <v>3327630</v>
      </c>
      <c r="O8" s="763">
        <v>-728986.92648493731</v>
      </c>
      <c r="P8" s="748" t="s">
        <v>632</v>
      </c>
      <c r="Q8" s="135"/>
      <c r="R8" s="5" t="s">
        <v>685</v>
      </c>
      <c r="V8" s="747" t="s">
        <v>622</v>
      </c>
      <c r="W8" s="776">
        <f>H17</f>
        <v>693391</v>
      </c>
      <c r="X8" s="776">
        <f>(($AG$8-W8)/10)+W8</f>
        <v>693391</v>
      </c>
      <c r="Y8" s="776">
        <f t="shared" ref="Y8:AF8" si="18">(($AG$8-X8)/10)+X8</f>
        <v>693391</v>
      </c>
      <c r="Z8" s="776">
        <f t="shared" si="18"/>
        <v>693391</v>
      </c>
      <c r="AA8" s="776">
        <f t="shared" si="18"/>
        <v>693391</v>
      </c>
      <c r="AB8" s="776">
        <f t="shared" si="18"/>
        <v>693391</v>
      </c>
      <c r="AC8" s="776">
        <f t="shared" si="18"/>
        <v>693391</v>
      </c>
      <c r="AD8" s="776">
        <f t="shared" si="18"/>
        <v>693391</v>
      </c>
      <c r="AE8" s="776">
        <f t="shared" si="18"/>
        <v>693391</v>
      </c>
      <c r="AF8" s="776">
        <f t="shared" si="18"/>
        <v>693391</v>
      </c>
      <c r="AG8" s="776">
        <f>S13</f>
        <v>693391</v>
      </c>
      <c r="AH8" s="776">
        <f>(($BA$8-AG8)/20)+AG8</f>
        <v>658721.44999999995</v>
      </c>
      <c r="AI8" s="776">
        <f t="shared" si="0"/>
        <v>624051.89999999991</v>
      </c>
      <c r="AJ8" s="776">
        <f t="shared" si="1"/>
        <v>589382.34999999986</v>
      </c>
      <c r="AK8" s="776">
        <f t="shared" si="2"/>
        <v>554712.79999999981</v>
      </c>
      <c r="AL8" s="776">
        <f t="shared" si="3"/>
        <v>520043.24999999983</v>
      </c>
      <c r="AM8" s="776">
        <f t="shared" si="4"/>
        <v>485373.69999999984</v>
      </c>
      <c r="AN8" s="776">
        <f t="shared" si="5"/>
        <v>450704.14999999985</v>
      </c>
      <c r="AO8" s="776">
        <f t="shared" si="6"/>
        <v>416034.59999999986</v>
      </c>
      <c r="AP8" s="776">
        <f t="shared" si="7"/>
        <v>381365.04999999987</v>
      </c>
      <c r="AQ8" s="776">
        <f t="shared" si="8"/>
        <v>346695.49999999988</v>
      </c>
      <c r="AR8" s="776">
        <f t="shared" si="9"/>
        <v>312025.9499999999</v>
      </c>
      <c r="AS8" s="776">
        <f t="shared" si="10"/>
        <v>277356.39999999991</v>
      </c>
      <c r="AT8" s="776">
        <f t="shared" si="11"/>
        <v>242686.84999999992</v>
      </c>
      <c r="AU8" s="776">
        <f t="shared" si="12"/>
        <v>208017.29999999993</v>
      </c>
      <c r="AV8" s="776">
        <f t="shared" si="13"/>
        <v>173347.74999999994</v>
      </c>
      <c r="AW8" s="776">
        <f t="shared" si="14"/>
        <v>138678.19999999995</v>
      </c>
      <c r="AX8" s="776">
        <f t="shared" si="15"/>
        <v>104008.64999999997</v>
      </c>
      <c r="AY8" s="776">
        <f t="shared" si="16"/>
        <v>69339.099999999977</v>
      </c>
      <c r="AZ8" s="776">
        <f t="shared" si="17"/>
        <v>34669.549999999988</v>
      </c>
      <c r="BA8" s="833">
        <v>0</v>
      </c>
      <c r="BE8" s="71"/>
      <c r="BF8" s="71"/>
      <c r="BG8" s="71"/>
    </row>
    <row r="9" spans="1:59" ht="47.25">
      <c r="A9" s="747" t="s">
        <v>596</v>
      </c>
      <c r="B9" s="125" t="s">
        <v>4</v>
      </c>
      <c r="C9" s="135">
        <v>3532147796</v>
      </c>
      <c r="D9" s="125" t="s">
        <v>590</v>
      </c>
      <c r="E9" s="748">
        <v>1684172</v>
      </c>
      <c r="G9" s="747"/>
      <c r="H9" s="749"/>
      <c r="O9" s="779">
        <f>O4+O8+O7</f>
        <v>6551912.6701918989</v>
      </c>
      <c r="P9" s="748"/>
      <c r="Q9" s="135"/>
      <c r="R9" s="768"/>
      <c r="S9" s="769">
        <v>2030</v>
      </c>
      <c r="T9" s="770" t="s">
        <v>642</v>
      </c>
      <c r="U9" s="825"/>
      <c r="V9" s="747" t="s">
        <v>609</v>
      </c>
      <c r="W9" s="776">
        <f>H19</f>
        <v>310010</v>
      </c>
      <c r="X9" s="776">
        <f>(($AG$9-W9)/10)+W9</f>
        <v>310010</v>
      </c>
      <c r="Y9" s="776">
        <f t="shared" ref="Y9:AF9" si="19">(($AG$9-X9)/10)+X9</f>
        <v>310010</v>
      </c>
      <c r="Z9" s="776">
        <f t="shared" si="19"/>
        <v>310010</v>
      </c>
      <c r="AA9" s="776">
        <f t="shared" si="19"/>
        <v>310010</v>
      </c>
      <c r="AB9" s="776">
        <f t="shared" si="19"/>
        <v>310010</v>
      </c>
      <c r="AC9" s="776">
        <f t="shared" si="19"/>
        <v>310010</v>
      </c>
      <c r="AD9" s="776">
        <f t="shared" si="19"/>
        <v>310010</v>
      </c>
      <c r="AE9" s="776">
        <f t="shared" si="19"/>
        <v>310010</v>
      </c>
      <c r="AF9" s="776">
        <f t="shared" si="19"/>
        <v>310010</v>
      </c>
      <c r="AG9" s="776">
        <f>S14</f>
        <v>310010</v>
      </c>
      <c r="AH9" s="776">
        <f>(($BA$9-AG9)/20)+AG9</f>
        <v>294509.5</v>
      </c>
      <c r="AI9" s="776">
        <f t="shared" si="0"/>
        <v>279009</v>
      </c>
      <c r="AJ9" s="776">
        <f t="shared" si="1"/>
        <v>263508.5</v>
      </c>
      <c r="AK9" s="776">
        <f t="shared" si="2"/>
        <v>248008</v>
      </c>
      <c r="AL9" s="776">
        <f t="shared" si="3"/>
        <v>232507.5</v>
      </c>
      <c r="AM9" s="776">
        <f t="shared" si="4"/>
        <v>217007</v>
      </c>
      <c r="AN9" s="776">
        <f t="shared" si="5"/>
        <v>201506.5</v>
      </c>
      <c r="AO9" s="776">
        <f t="shared" si="6"/>
        <v>186006</v>
      </c>
      <c r="AP9" s="776">
        <f t="shared" si="7"/>
        <v>170505.5</v>
      </c>
      <c r="AQ9" s="776">
        <f t="shared" si="8"/>
        <v>155005</v>
      </c>
      <c r="AR9" s="776">
        <f t="shared" si="9"/>
        <v>139504.5</v>
      </c>
      <c r="AS9" s="776">
        <f t="shared" si="10"/>
        <v>124004</v>
      </c>
      <c r="AT9" s="776">
        <f t="shared" si="11"/>
        <v>108503.5</v>
      </c>
      <c r="AU9" s="776">
        <f t="shared" si="12"/>
        <v>93003</v>
      </c>
      <c r="AV9" s="776">
        <f t="shared" si="13"/>
        <v>77502.5</v>
      </c>
      <c r="AW9" s="776">
        <f t="shared" si="14"/>
        <v>62002</v>
      </c>
      <c r="AX9" s="776">
        <f t="shared" si="15"/>
        <v>46501.5</v>
      </c>
      <c r="AY9" s="776">
        <f t="shared" si="16"/>
        <v>31001</v>
      </c>
      <c r="AZ9" s="776">
        <f t="shared" si="17"/>
        <v>15500.5</v>
      </c>
      <c r="BA9" s="833">
        <v>0</v>
      </c>
      <c r="BD9">
        <v>-376698.11925053975</v>
      </c>
      <c r="BE9" s="71"/>
      <c r="BF9" s="71"/>
      <c r="BG9" s="71"/>
    </row>
    <row r="10" spans="1:59" ht="16.5" thickBot="1">
      <c r="A10" s="747" t="s">
        <v>596</v>
      </c>
      <c r="B10" s="125" t="s">
        <v>113</v>
      </c>
      <c r="C10" s="135">
        <v>668493</v>
      </c>
      <c r="D10" s="125" t="s">
        <v>593</v>
      </c>
      <c r="E10" s="748">
        <v>41488</v>
      </c>
      <c r="G10" s="747" t="s">
        <v>584</v>
      </c>
      <c r="H10" s="749"/>
      <c r="I10" s="2"/>
      <c r="J10" s="2"/>
      <c r="K10" s="2"/>
      <c r="L10" s="737">
        <f>H8*0.2</f>
        <v>665526</v>
      </c>
      <c r="O10" s="779"/>
      <c r="P10" s="764"/>
      <c r="Q10" s="781"/>
      <c r="R10" s="750" t="s">
        <v>649</v>
      </c>
      <c r="S10" s="771">
        <f>H8+O8+O7</f>
        <v>999348.82830633968</v>
      </c>
      <c r="T10" s="765">
        <f>S10/H8-1</f>
        <v>-0.69968150656583217</v>
      </c>
      <c r="U10" s="820"/>
      <c r="V10" s="777"/>
      <c r="W10" s="834">
        <f>SUM(W5:W9)</f>
        <v>8880195</v>
      </c>
      <c r="X10" s="834">
        <f t="shared" ref="X10:AF10" si="20">SUM(X5:X9)</f>
        <v>8414282.8652250692</v>
      </c>
      <c r="Y10" s="834">
        <f t="shared" si="20"/>
        <v>7948370.7304501366</v>
      </c>
      <c r="Z10" s="834">
        <f t="shared" si="20"/>
        <v>7482458.5956752039</v>
      </c>
      <c r="AA10" s="834">
        <f t="shared" si="20"/>
        <v>7016546.4609002732</v>
      </c>
      <c r="AB10" s="834">
        <f t="shared" si="20"/>
        <v>6550634.3261253415</v>
      </c>
      <c r="AC10" s="834">
        <f t="shared" si="20"/>
        <v>6084722.1913504098</v>
      </c>
      <c r="AD10" s="834">
        <f t="shared" si="20"/>
        <v>5618810.0565754781</v>
      </c>
      <c r="AE10" s="834">
        <f t="shared" si="20"/>
        <v>5152897.9218005463</v>
      </c>
      <c r="AF10" s="834">
        <f t="shared" si="20"/>
        <v>4686985.7870256156</v>
      </c>
      <c r="AG10" s="834">
        <f>SUM(AG5:AG9)</f>
        <v>4221073.6522506829</v>
      </c>
      <c r="AH10" s="834">
        <f t="shared" ref="AH10:AZ10" si="21">SUM(AH5:AH9)</f>
        <v>4010019.9696381493</v>
      </c>
      <c r="AI10" s="834">
        <f t="shared" si="21"/>
        <v>3798966.2870256151</v>
      </c>
      <c r="AJ10" s="834">
        <f t="shared" si="21"/>
        <v>3587912.604413081</v>
      </c>
      <c r="AK10" s="834">
        <f t="shared" si="21"/>
        <v>3376858.9218005463</v>
      </c>
      <c r="AL10" s="834">
        <f t="shared" si="21"/>
        <v>3165805.2391880127</v>
      </c>
      <c r="AM10" s="834">
        <f t="shared" si="21"/>
        <v>2954751.5565754781</v>
      </c>
      <c r="AN10" s="834">
        <f t="shared" si="21"/>
        <v>2743697.8739629439</v>
      </c>
      <c r="AO10" s="834">
        <f t="shared" si="21"/>
        <v>2532644.1913504098</v>
      </c>
      <c r="AP10" s="834">
        <f t="shared" si="21"/>
        <v>2321590.5087378756</v>
      </c>
      <c r="AQ10" s="834">
        <f t="shared" si="21"/>
        <v>2110536.8261253415</v>
      </c>
      <c r="AR10" s="834">
        <f t="shared" si="21"/>
        <v>1899483.1435128076</v>
      </c>
      <c r="AS10" s="834">
        <f t="shared" si="21"/>
        <v>1688429.4609002734</v>
      </c>
      <c r="AT10" s="834">
        <f t="shared" si="21"/>
        <v>1477375.7782877393</v>
      </c>
      <c r="AU10" s="834">
        <f t="shared" si="21"/>
        <v>1266322.0956752051</v>
      </c>
      <c r="AV10" s="834">
        <f t="shared" si="21"/>
        <v>1055268.413062671</v>
      </c>
      <c r="AW10" s="834">
        <f t="shared" si="21"/>
        <v>844214.73045013682</v>
      </c>
      <c r="AX10" s="834">
        <f t="shared" si="21"/>
        <v>633161.04783760256</v>
      </c>
      <c r="AY10" s="834">
        <f t="shared" si="21"/>
        <v>422107.36522506841</v>
      </c>
      <c r="AZ10" s="834">
        <f t="shared" si="21"/>
        <v>211053.6826125342</v>
      </c>
      <c r="BA10" s="835">
        <f>SUM(BA5:BA9)</f>
        <v>0</v>
      </c>
      <c r="BE10" s="71"/>
      <c r="BF10" s="71"/>
      <c r="BG10" s="71"/>
    </row>
    <row r="11" spans="1:59" ht="16.5" thickBot="1">
      <c r="A11" s="747" t="s">
        <v>596</v>
      </c>
      <c r="B11" s="125" t="s">
        <v>143</v>
      </c>
      <c r="C11" s="135">
        <v>941653</v>
      </c>
      <c r="D11" s="125" t="s">
        <v>593</v>
      </c>
      <c r="E11" s="748">
        <v>66611</v>
      </c>
      <c r="G11" s="747" t="s">
        <v>617</v>
      </c>
      <c r="H11" s="748">
        <f>E4+E5+E6+E7</f>
        <v>703549</v>
      </c>
      <c r="L11" s="3">
        <f>L10/H8-1</f>
        <v>-0.8</v>
      </c>
      <c r="O11" s="779">
        <f>R6</f>
        <v>-177699.360578747</v>
      </c>
      <c r="P11" s="749" t="s">
        <v>629</v>
      </c>
      <c r="Q11" s="125"/>
      <c r="R11" s="752" t="s">
        <v>621</v>
      </c>
      <c r="S11" s="772">
        <f>H13+O11+O12+O13+O14+O15</f>
        <v>820747.41976826836</v>
      </c>
      <c r="T11" s="765">
        <f>S11/H13-1</f>
        <v>-0.38436817579014648</v>
      </c>
      <c r="U11" s="820"/>
      <c r="BD11">
        <v>-327610.70473356853</v>
      </c>
    </row>
    <row r="12" spans="1:59" ht="36.75" customHeight="1" thickBot="1">
      <c r="A12" s="747" t="s">
        <v>596</v>
      </c>
      <c r="B12" s="125" t="s">
        <v>594</v>
      </c>
      <c r="C12" s="135">
        <v>2211</v>
      </c>
      <c r="D12" s="125" t="s">
        <v>593</v>
      </c>
      <c r="E12" s="749">
        <v>167</v>
      </c>
      <c r="G12" s="747" t="s">
        <v>620</v>
      </c>
      <c r="H12" s="748">
        <f>E10+E11+E12+E13+E14</f>
        <v>629630</v>
      </c>
      <c r="L12" s="71">
        <f>4200925-L10</f>
        <v>3535399</v>
      </c>
      <c r="M12" s="3"/>
      <c r="O12" s="779">
        <v>-167952.51198871204</v>
      </c>
      <c r="P12" s="749" t="s">
        <v>630</v>
      </c>
      <c r="Q12" s="125"/>
      <c r="R12" s="754" t="s">
        <v>639</v>
      </c>
      <c r="S12" s="773">
        <f>H15+O19+O20+O21</f>
        <v>1397576.4041760755</v>
      </c>
      <c r="T12" s="765">
        <f>S12/H15-1</f>
        <v>-0.56542819566133695</v>
      </c>
      <c r="U12" s="820"/>
      <c r="AA12" s="745"/>
      <c r="AB12" s="784" t="s">
        <v>644</v>
      </c>
      <c r="AC12" s="761"/>
    </row>
    <row r="13" spans="1:59">
      <c r="A13" s="747" t="s">
        <v>596</v>
      </c>
      <c r="B13" s="125" t="s">
        <v>64</v>
      </c>
      <c r="C13" s="135">
        <v>91545320</v>
      </c>
      <c r="D13" s="125" t="s">
        <v>591</v>
      </c>
      <c r="E13" s="748">
        <v>486790</v>
      </c>
      <c r="G13" s="752" t="s">
        <v>621</v>
      </c>
      <c r="H13" s="753">
        <f>H12+H11</f>
        <v>1333179</v>
      </c>
      <c r="O13" s="779">
        <v>-153549.33825356537</v>
      </c>
      <c r="P13" s="749" t="s">
        <v>631</v>
      </c>
      <c r="Q13" s="125"/>
      <c r="R13" s="756" t="s">
        <v>622</v>
      </c>
      <c r="S13" s="774">
        <v>693391</v>
      </c>
      <c r="T13" s="765">
        <f>S13/H17-1</f>
        <v>0</v>
      </c>
      <c r="U13" s="820"/>
      <c r="AA13" s="745"/>
      <c r="AB13" s="780">
        <v>2030</v>
      </c>
      <c r="AC13" s="761">
        <v>2050</v>
      </c>
      <c r="BD13">
        <v>-225435.00950267728</v>
      </c>
    </row>
    <row r="14" spans="1:59" ht="16.5" thickBot="1">
      <c r="A14" s="747" t="s">
        <v>596</v>
      </c>
      <c r="B14" s="125" t="s">
        <v>592</v>
      </c>
      <c r="C14" s="135">
        <v>464408</v>
      </c>
      <c r="D14" s="125" t="s">
        <v>593</v>
      </c>
      <c r="E14" s="748">
        <v>34574</v>
      </c>
      <c r="G14" s="747"/>
      <c r="H14" s="749"/>
      <c r="O14" s="779">
        <v>-5392.8086891362491</v>
      </c>
      <c r="P14" s="749" t="s">
        <v>635</v>
      </c>
      <c r="Q14" s="125"/>
      <c r="R14" s="775" t="s">
        <v>609</v>
      </c>
      <c r="S14" s="645">
        <v>310010</v>
      </c>
      <c r="T14" s="765">
        <f>S14/H19-1</f>
        <v>0</v>
      </c>
      <c r="U14" s="820"/>
      <c r="AA14" s="783" t="s">
        <v>645</v>
      </c>
      <c r="AB14" s="785">
        <f>H3+O7+O11+O19</f>
        <v>6377004.5560612064</v>
      </c>
      <c r="AC14" s="786">
        <f>BD5+BD7+BD27</f>
        <v>5517881.7563557643</v>
      </c>
    </row>
    <row r="15" spans="1:59" ht="63">
      <c r="A15" s="747" t="s">
        <v>597</v>
      </c>
      <c r="B15" s="125"/>
      <c r="C15" s="125"/>
      <c r="D15" s="125"/>
      <c r="E15" s="748">
        <v>2313802</v>
      </c>
      <c r="G15" s="754" t="s">
        <v>32</v>
      </c>
      <c r="H15" s="755">
        <f>E29</f>
        <v>3215985</v>
      </c>
      <c r="I15" s="2"/>
      <c r="J15" s="2"/>
      <c r="K15" s="2"/>
      <c r="L15" s="738">
        <f>H13*0.69</f>
        <v>919893.50999999989</v>
      </c>
      <c r="N15" s="79"/>
      <c r="O15" s="779">
        <v>-7837.5607215710033</v>
      </c>
      <c r="P15" s="749" t="s">
        <v>636</v>
      </c>
      <c r="Q15" s="125"/>
      <c r="R15" s="747" t="s">
        <v>640</v>
      </c>
      <c r="S15" s="776">
        <f>SUM(S10:S14)</f>
        <v>4221073.6522506829</v>
      </c>
      <c r="T15" s="749"/>
      <c r="U15" s="125"/>
      <c r="AA15" s="793" t="s">
        <v>659</v>
      </c>
      <c r="AB15" s="790" t="s">
        <v>657</v>
      </c>
      <c r="AC15" s="791" t="s">
        <v>658</v>
      </c>
      <c r="BD15">
        <v>-551482.0162636009</v>
      </c>
    </row>
    <row r="16" spans="1:59" ht="16.5" thickBot="1">
      <c r="A16" s="747" t="s">
        <v>598</v>
      </c>
      <c r="B16" s="125" t="s">
        <v>4</v>
      </c>
      <c r="C16" s="135">
        <v>1363961211</v>
      </c>
      <c r="D16" s="125" t="s">
        <v>590</v>
      </c>
      <c r="E16" s="748">
        <v>598701</v>
      </c>
      <c r="G16" s="747"/>
      <c r="H16" s="749"/>
      <c r="M16" s="3">
        <f>L15/H13-1</f>
        <v>-0.31000000000000005</v>
      </c>
      <c r="N16" t="s">
        <v>625</v>
      </c>
      <c r="O16" s="779"/>
      <c r="P16" s="749"/>
      <c r="Q16" s="125"/>
      <c r="R16" s="777" t="s">
        <v>641</v>
      </c>
      <c r="S16" s="778">
        <f>S15/O3-1</f>
        <v>-0.59889575031726694</v>
      </c>
      <c r="T16" s="767"/>
      <c r="U16" s="125"/>
      <c r="AA16" s="747" t="s">
        <v>660</v>
      </c>
      <c r="AB16" s="781">
        <f>O8+H3</f>
        <v>8151208.0735150632</v>
      </c>
      <c r="AC16" s="787">
        <f>AB16/H3-1</f>
        <v>-8.2091319670900997E-2</v>
      </c>
    </row>
    <row r="17" spans="1:56">
      <c r="A17" s="747" t="s">
        <v>598</v>
      </c>
      <c r="B17" s="125" t="s">
        <v>592</v>
      </c>
      <c r="C17" s="135">
        <v>2910216</v>
      </c>
      <c r="D17" s="125" t="s">
        <v>593</v>
      </c>
      <c r="E17" s="748">
        <v>216079</v>
      </c>
      <c r="G17" s="756" t="s">
        <v>622</v>
      </c>
      <c r="H17" s="757">
        <f>E17+E18+E19+E20+E21+E22</f>
        <v>693391</v>
      </c>
      <c r="I17" s="2"/>
      <c r="J17" s="2"/>
      <c r="K17" s="2"/>
      <c r="L17" s="71">
        <f>H15*0.77</f>
        <v>2476308.4500000002</v>
      </c>
      <c r="O17" s="779">
        <f>O9+O13+O12+O11+O14+O15</f>
        <v>6039481.0899601672</v>
      </c>
      <c r="P17" s="749"/>
      <c r="Q17" s="125"/>
      <c r="AA17" s="747" t="s">
        <v>650</v>
      </c>
      <c r="AB17" s="781">
        <f>O12+O13+H3</f>
        <v>8558693.1497577224</v>
      </c>
      <c r="AC17" s="787">
        <f>AB17/H3-1</f>
        <v>-3.6204368287214184E-2</v>
      </c>
      <c r="BD17">
        <v>-109351.62859958246</v>
      </c>
    </row>
    <row r="18" spans="1:56">
      <c r="A18" s="747" t="s">
        <v>598</v>
      </c>
      <c r="B18" s="125" t="s">
        <v>64</v>
      </c>
      <c r="C18" s="135">
        <v>75877418</v>
      </c>
      <c r="D18" s="125" t="s">
        <v>591</v>
      </c>
      <c r="E18" s="748">
        <v>402718</v>
      </c>
      <c r="G18" s="747"/>
      <c r="H18" s="749"/>
      <c r="M18" s="3">
        <f>L17/H15-1</f>
        <v>-0.22999999999999998</v>
      </c>
      <c r="N18" t="s">
        <v>625</v>
      </c>
      <c r="O18" s="779"/>
      <c r="P18" s="749"/>
      <c r="Q18" s="125"/>
      <c r="AA18" s="747" t="s">
        <v>651</v>
      </c>
      <c r="AB18" s="781">
        <f>O15+O14+H3</f>
        <v>8866964.6305892933</v>
      </c>
      <c r="AC18" s="787">
        <f>AB18/H3-1</f>
        <v>-1.4898737483475255E-3</v>
      </c>
    </row>
    <row r="19" spans="1:56" ht="16.5" thickBot="1">
      <c r="A19" s="747" t="s">
        <v>598</v>
      </c>
      <c r="B19" s="125" t="s">
        <v>594</v>
      </c>
      <c r="C19" s="135">
        <v>1105</v>
      </c>
      <c r="D19" s="125" t="s">
        <v>593</v>
      </c>
      <c r="E19" s="749">
        <v>83</v>
      </c>
      <c r="G19" s="758" t="s">
        <v>609</v>
      </c>
      <c r="H19" s="759">
        <f>H3-H8-H13-H15-H17</f>
        <v>310010</v>
      </c>
      <c r="I19" s="2"/>
      <c r="J19" s="2"/>
      <c r="K19" s="2"/>
      <c r="L19" s="71">
        <f>L17+M19</f>
        <v>1893357.0329391793</v>
      </c>
      <c r="M19" s="742">
        <v>-582951.41706082097</v>
      </c>
      <c r="N19" t="s">
        <v>624</v>
      </c>
      <c r="O19" s="779">
        <v>-726196.83815132244</v>
      </c>
      <c r="P19" s="749" t="s">
        <v>633</v>
      </c>
      <c r="Q19" s="125"/>
      <c r="AA19" s="747" t="s">
        <v>652</v>
      </c>
      <c r="AB19" s="781">
        <f>O20+H3</f>
        <v>8297243.5829391787</v>
      </c>
      <c r="AC19" s="787">
        <f>AB19/H3-1</f>
        <v>-6.5646240545485957E-2</v>
      </c>
      <c r="BD19">
        <v>-228402.82657521195</v>
      </c>
    </row>
    <row r="20" spans="1:56" ht="16.5" thickBot="1">
      <c r="A20" s="747" t="s">
        <v>598</v>
      </c>
      <c r="B20" s="125" t="s">
        <v>113</v>
      </c>
      <c r="C20" s="135">
        <v>432202</v>
      </c>
      <c r="D20" s="125" t="s">
        <v>593</v>
      </c>
      <c r="E20" s="748">
        <v>26740</v>
      </c>
      <c r="L20" s="739">
        <f>L19+M20</f>
        <v>1384096.6923273983</v>
      </c>
      <c r="M20" s="742">
        <v>-509260.34061178105</v>
      </c>
      <c r="N20" t="s">
        <v>626</v>
      </c>
      <c r="O20" s="779">
        <v>-582951.41706082097</v>
      </c>
      <c r="P20" s="749" t="s">
        <v>634</v>
      </c>
      <c r="Q20" s="125"/>
      <c r="AA20" s="777" t="s">
        <v>626</v>
      </c>
      <c r="AB20" s="792">
        <f>O21+H3</f>
        <v>8370934.659388219</v>
      </c>
      <c r="AC20" s="788">
        <f>AB20/H3-1</f>
        <v>-5.7347878127876784E-2</v>
      </c>
    </row>
    <row r="21" spans="1:56" ht="16.5" thickBot="1">
      <c r="A21" s="747" t="s">
        <v>598</v>
      </c>
      <c r="B21" s="125" t="s">
        <v>143</v>
      </c>
      <c r="C21" s="135">
        <v>650523</v>
      </c>
      <c r="D21" s="125" t="s">
        <v>593</v>
      </c>
      <c r="E21" s="748">
        <v>45887</v>
      </c>
      <c r="L21" s="743">
        <f>L20/H15-1</f>
        <v>-0.56961966790037932</v>
      </c>
      <c r="O21" s="779">
        <v>-509260.34061178105</v>
      </c>
      <c r="P21" s="749" t="s">
        <v>626</v>
      </c>
      <c r="Q21" s="125"/>
      <c r="AA21" s="782" t="s">
        <v>656</v>
      </c>
      <c r="AB21" s="125"/>
      <c r="AC21" s="789"/>
      <c r="BD21">
        <v>-265393.41208669805</v>
      </c>
    </row>
    <row r="22" spans="1:56">
      <c r="A22" s="747" t="s">
        <v>598</v>
      </c>
      <c r="B22" s="125" t="s">
        <v>599</v>
      </c>
      <c r="C22" s="135">
        <v>25736</v>
      </c>
      <c r="D22" s="125" t="s">
        <v>593</v>
      </c>
      <c r="E22" s="748">
        <v>1884</v>
      </c>
      <c r="G22" s="797" t="s">
        <v>20</v>
      </c>
      <c r="H22" s="798">
        <v>1990</v>
      </c>
      <c r="I22" s="799">
        <v>2020</v>
      </c>
      <c r="L22" s="3"/>
      <c r="O22" s="779">
        <f>O17+O19+O20+O21</f>
        <v>4221072.4941362422</v>
      </c>
      <c r="P22" s="765">
        <f>O22/O3-1</f>
        <v>-0.59889586036619347</v>
      </c>
      <c r="Q22" s="820"/>
      <c r="AA22" s="747" t="s">
        <v>653</v>
      </c>
      <c r="AB22" s="781">
        <f>O7+H3</f>
        <v>7280900.7547912765</v>
      </c>
      <c r="AC22" s="787">
        <f>AB22/H3-1</f>
        <v>-0.18009674846202406</v>
      </c>
    </row>
    <row r="23" spans="1:56">
      <c r="A23" s="747" t="s">
        <v>600</v>
      </c>
      <c r="B23" s="125"/>
      <c r="C23" s="125"/>
      <c r="D23" s="125"/>
      <c r="E23" s="748">
        <v>1292092</v>
      </c>
      <c r="G23" s="800" t="s">
        <v>643</v>
      </c>
      <c r="H23" s="801">
        <v>4922239.6284025796</v>
      </c>
      <c r="I23" s="802">
        <v>3327630</v>
      </c>
      <c r="L23" s="740">
        <f>H17</f>
        <v>693391</v>
      </c>
      <c r="O23" s="779"/>
      <c r="P23" s="749"/>
      <c r="Q23" s="125"/>
      <c r="R23" s="3"/>
      <c r="S23" s="3"/>
      <c r="AA23" s="747" t="s">
        <v>654</v>
      </c>
      <c r="AB23" s="781">
        <f>O11+H3</f>
        <v>8702495.6394212525</v>
      </c>
      <c r="AC23" s="787">
        <f>AB23/H3-1</f>
        <v>-2.0010749829113883E-2</v>
      </c>
      <c r="AD23" s="88"/>
      <c r="BD23">
        <v>0</v>
      </c>
    </row>
    <row r="24" spans="1:56" ht="16.5" thickBot="1">
      <c r="A24" s="747" t="s">
        <v>601</v>
      </c>
      <c r="B24" s="125" t="s">
        <v>602</v>
      </c>
      <c r="C24" s="135">
        <v>6185055014</v>
      </c>
      <c r="D24" s="125" t="s">
        <v>603</v>
      </c>
      <c r="E24" s="748">
        <v>172182</v>
      </c>
      <c r="G24" s="800" t="s">
        <v>584</v>
      </c>
      <c r="H24" s="801">
        <v>1041621.8477031373</v>
      </c>
      <c r="I24" s="802">
        <v>1333179</v>
      </c>
      <c r="L24" s="631">
        <f>H19</f>
        <v>310010</v>
      </c>
      <c r="O24" s="766"/>
      <c r="P24" s="767"/>
      <c r="Q24" s="125"/>
      <c r="AA24" s="777" t="s">
        <v>655</v>
      </c>
      <c r="AB24" s="792">
        <f>O19+H3</f>
        <v>8153998.1618486773</v>
      </c>
      <c r="AC24" s="788">
        <f>AB24/H3-1</f>
        <v>-8.177712743372445E-2</v>
      </c>
    </row>
    <row r="25" spans="1:56" ht="16.5" thickBot="1">
      <c r="A25" s="747" t="s">
        <v>601</v>
      </c>
      <c r="B25" s="125" t="s">
        <v>143</v>
      </c>
      <c r="C25" s="135">
        <v>6185055014</v>
      </c>
      <c r="D25" s="125" t="s">
        <v>603</v>
      </c>
      <c r="E25" s="748">
        <v>1921541</v>
      </c>
      <c r="G25" s="800" t="s">
        <v>32</v>
      </c>
      <c r="H25" s="801">
        <v>2979109.7949844073</v>
      </c>
      <c r="I25" s="802">
        <v>3215985</v>
      </c>
      <c r="L25" s="71">
        <f>L24+L23+L20+L15+L10</f>
        <v>3972917.2023273981</v>
      </c>
      <c r="M25" s="3">
        <f>L25/H3-1</f>
        <v>-0.55260923861160727</v>
      </c>
      <c r="N25" t="s">
        <v>627</v>
      </c>
      <c r="AA25" s="794" t="s">
        <v>661</v>
      </c>
      <c r="AB25" s="795"/>
      <c r="AC25" s="796">
        <f>SUM(AC16:AC24)</f>
        <v>-0.52466430610468784</v>
      </c>
      <c r="BD25">
        <v>-693391.58346784487</v>
      </c>
    </row>
    <row r="26" spans="1:56">
      <c r="A26" s="747" t="s">
        <v>601</v>
      </c>
      <c r="B26" s="125" t="s">
        <v>144</v>
      </c>
      <c r="C26" s="135">
        <v>6185055014</v>
      </c>
      <c r="D26" s="125" t="s">
        <v>603</v>
      </c>
      <c r="E26" s="748">
        <v>1109958</v>
      </c>
      <c r="G26" s="800" t="s">
        <v>622</v>
      </c>
      <c r="H26" s="801">
        <v>799966.97507262614</v>
      </c>
      <c r="I26" s="802">
        <v>693391</v>
      </c>
      <c r="O26" s="797" t="s">
        <v>20</v>
      </c>
      <c r="P26" s="799" t="s">
        <v>662</v>
      </c>
      <c r="Q26" s="819"/>
    </row>
    <row r="27" spans="1:56" ht="16.5" thickBot="1">
      <c r="A27" s="747" t="s">
        <v>601</v>
      </c>
      <c r="B27" s="125" t="s">
        <v>145</v>
      </c>
      <c r="C27" s="135">
        <v>6185055014</v>
      </c>
      <c r="D27" s="125" t="s">
        <v>603</v>
      </c>
      <c r="E27" s="748">
        <v>12276</v>
      </c>
      <c r="G27" s="803" t="s">
        <v>609</v>
      </c>
      <c r="H27" s="804">
        <v>780697.3959385691</v>
      </c>
      <c r="I27" s="805">
        <v>310010</v>
      </c>
      <c r="O27" s="800" t="s">
        <v>663</v>
      </c>
      <c r="P27" s="809">
        <f>H8</f>
        <v>3327630</v>
      </c>
      <c r="Q27" s="821"/>
      <c r="BD27">
        <v>-930019.64539353177</v>
      </c>
    </row>
    <row r="28" spans="1:56" ht="17.25" thickTop="1" thickBot="1">
      <c r="A28" s="747" t="s">
        <v>601</v>
      </c>
      <c r="B28" s="125" t="s">
        <v>146</v>
      </c>
      <c r="C28" s="135">
        <v>6185055014</v>
      </c>
      <c r="D28" s="125" t="s">
        <v>603</v>
      </c>
      <c r="E28" s="749">
        <v>28</v>
      </c>
      <c r="G28" s="806" t="s">
        <v>615</v>
      </c>
      <c r="H28" s="807">
        <v>10523635.64210132</v>
      </c>
      <c r="I28" s="808">
        <v>8880195</v>
      </c>
      <c r="J28" s="819"/>
      <c r="K28" s="819"/>
      <c r="O28" s="810" t="s">
        <v>664</v>
      </c>
      <c r="P28" s="811">
        <f>O7</f>
        <v>-1599294.245208723</v>
      </c>
      <c r="Q28" s="781"/>
    </row>
    <row r="29" spans="1:56">
      <c r="A29" s="747" t="s">
        <v>604</v>
      </c>
      <c r="B29" s="125"/>
      <c r="C29" s="125"/>
      <c r="D29" s="125"/>
      <c r="E29" s="748">
        <v>3215985</v>
      </c>
      <c r="J29" s="135"/>
      <c r="K29" s="135"/>
      <c r="O29" s="810" t="s">
        <v>665</v>
      </c>
      <c r="P29" s="811">
        <f>O8</f>
        <v>-728986.92648493731</v>
      </c>
      <c r="Q29" s="781"/>
      <c r="BD29">
        <v>-971203.44992398599</v>
      </c>
    </row>
    <row r="30" spans="1:56">
      <c r="A30" s="747" t="s">
        <v>33</v>
      </c>
      <c r="B30" s="125" t="s">
        <v>605</v>
      </c>
      <c r="C30" s="135">
        <v>710133</v>
      </c>
      <c r="D30" s="125" t="s">
        <v>606</v>
      </c>
      <c r="E30" s="748">
        <v>97566</v>
      </c>
      <c r="J30" s="135"/>
      <c r="K30" s="135"/>
      <c r="O30" s="812" t="s">
        <v>666</v>
      </c>
      <c r="P30" s="813">
        <f>P27+P28+P29</f>
        <v>999348.82830633968</v>
      </c>
      <c r="Q30" s="822"/>
    </row>
    <row r="31" spans="1:56">
      <c r="A31" s="747" t="s">
        <v>33</v>
      </c>
      <c r="B31" s="125" t="s">
        <v>607</v>
      </c>
      <c r="C31" s="135">
        <v>2000</v>
      </c>
      <c r="D31" s="125" t="s">
        <v>608</v>
      </c>
      <c r="E31" s="749">
        <v>694</v>
      </c>
      <c r="J31" s="135"/>
      <c r="K31" s="135"/>
      <c r="O31" s="800" t="s">
        <v>667</v>
      </c>
      <c r="P31" s="809">
        <f>H13</f>
        <v>1333179</v>
      </c>
      <c r="Q31" s="821"/>
      <c r="BD31">
        <v>-814683.81527383998</v>
      </c>
    </row>
    <row r="32" spans="1:56">
      <c r="A32" s="747" t="s">
        <v>33</v>
      </c>
      <c r="B32" s="125" t="s">
        <v>609</v>
      </c>
      <c r="C32" s="125"/>
      <c r="D32" s="125"/>
      <c r="E32" s="748">
        <v>11646</v>
      </c>
      <c r="J32" s="135"/>
      <c r="K32" s="135"/>
      <c r="O32" s="810" t="s">
        <v>664</v>
      </c>
      <c r="P32" s="814">
        <f>O11</f>
        <v>-177699.360578747</v>
      </c>
      <c r="Q32" s="823"/>
    </row>
    <row r="33" spans="1:56">
      <c r="A33" s="747" t="s">
        <v>610</v>
      </c>
      <c r="B33" s="125"/>
      <c r="C33" s="125"/>
      <c r="D33" s="125"/>
      <c r="E33" s="748">
        <v>109906</v>
      </c>
      <c r="J33" s="135"/>
      <c r="K33" s="135"/>
      <c r="O33" s="810" t="s">
        <v>668</v>
      </c>
      <c r="P33" s="814">
        <f>O12</f>
        <v>-167952.51198871204</v>
      </c>
      <c r="Q33" s="823"/>
      <c r="BD33">
        <v>0</v>
      </c>
    </row>
    <row r="34" spans="1:56">
      <c r="A34" s="747" t="s">
        <v>611</v>
      </c>
      <c r="B34" s="125" t="s">
        <v>35</v>
      </c>
      <c r="C34" s="125"/>
      <c r="D34" s="125"/>
      <c r="E34" s="748">
        <v>17244</v>
      </c>
      <c r="J34" s="135"/>
      <c r="K34" s="135"/>
      <c r="O34" s="810" t="s">
        <v>669</v>
      </c>
      <c r="P34" s="814">
        <f>O13</f>
        <v>-153549.33825356537</v>
      </c>
      <c r="Q34" s="823"/>
    </row>
    <row r="35" spans="1:56">
      <c r="A35" s="747" t="s">
        <v>611</v>
      </c>
      <c r="B35" s="125" t="s">
        <v>609</v>
      </c>
      <c r="C35" s="125"/>
      <c r="D35" s="125"/>
      <c r="E35" s="749">
        <v>1</v>
      </c>
      <c r="O35" s="810" t="s">
        <v>670</v>
      </c>
      <c r="P35" s="814">
        <f>O14</f>
        <v>-5392.8086891362491</v>
      </c>
      <c r="Q35" s="823"/>
      <c r="BD35">
        <v>-500078.07036371581</v>
      </c>
    </row>
    <row r="36" spans="1:56">
      <c r="A36" s="747" t="s">
        <v>612</v>
      </c>
      <c r="B36" s="125"/>
      <c r="C36" s="125"/>
      <c r="D36" s="125"/>
      <c r="E36" s="748">
        <v>17245</v>
      </c>
      <c r="O36" s="810" t="s">
        <v>671</v>
      </c>
      <c r="P36" s="814">
        <f>O15</f>
        <v>-7837.5607215710033</v>
      </c>
      <c r="Q36" s="823"/>
    </row>
    <row r="37" spans="1:56">
      <c r="A37" s="747" t="s">
        <v>613</v>
      </c>
      <c r="B37" s="125" t="s">
        <v>609</v>
      </c>
      <c r="C37" s="125"/>
      <c r="D37" s="125"/>
      <c r="E37" s="748">
        <v>182859</v>
      </c>
      <c r="O37" s="812" t="s">
        <v>672</v>
      </c>
      <c r="P37" s="813">
        <f>P31+P32+P33+P34+P35+P36</f>
        <v>820747.41976826836</v>
      </c>
      <c r="Q37" s="822"/>
      <c r="BD37">
        <v>-476849.84855449857</v>
      </c>
    </row>
    <row r="38" spans="1:56" ht="16.5" thickBot="1">
      <c r="A38" s="777" t="s">
        <v>614</v>
      </c>
      <c r="B38" s="830"/>
      <c r="C38" s="830"/>
      <c r="D38" s="830"/>
      <c r="E38" s="831">
        <v>182859</v>
      </c>
      <c r="O38" s="800" t="s">
        <v>673</v>
      </c>
      <c r="P38" s="809">
        <f>H15</f>
        <v>3215985</v>
      </c>
      <c r="Q38" s="821"/>
    </row>
    <row r="39" spans="1:56">
      <c r="O39" s="810" t="s">
        <v>664</v>
      </c>
      <c r="P39" s="811">
        <f>O19</f>
        <v>-726196.83815132244</v>
      </c>
      <c r="Q39" s="781"/>
      <c r="BD39">
        <f>BD5+BD7+BD9+BD11+BD13+BD15+BD17+BD19+BD21+BD23+BD25+BD27+BD29+BD31+BD33+BD35+BD37</f>
        <v>-22698.7282400002</v>
      </c>
    </row>
    <row r="40" spans="1:56">
      <c r="O40" s="810" t="s">
        <v>674</v>
      </c>
      <c r="P40" s="811">
        <f>O20</f>
        <v>-582951.41706082097</v>
      </c>
      <c r="Q40" s="781"/>
    </row>
    <row r="41" spans="1:56">
      <c r="A41" s="5" t="s">
        <v>680</v>
      </c>
      <c r="O41" s="810" t="s">
        <v>675</v>
      </c>
      <c r="P41" s="811">
        <f>O21</f>
        <v>-509260.34061178105</v>
      </c>
      <c r="Q41" s="781"/>
    </row>
    <row r="42" spans="1:56">
      <c r="O42" s="812" t="s">
        <v>676</v>
      </c>
      <c r="P42" s="815">
        <f>P41+P40+P39+P38</f>
        <v>1397576.4041760755</v>
      </c>
      <c r="Q42" s="824"/>
    </row>
    <row r="43" spans="1:56">
      <c r="O43" s="812" t="s">
        <v>677</v>
      </c>
      <c r="P43" s="813">
        <v>693391</v>
      </c>
      <c r="Q43" s="822"/>
    </row>
    <row r="44" spans="1:56">
      <c r="O44" s="812" t="s">
        <v>678</v>
      </c>
      <c r="P44" s="813">
        <v>310010</v>
      </c>
      <c r="Q44" s="822"/>
    </row>
    <row r="45" spans="1:56" ht="16.5" thickBot="1">
      <c r="O45" s="816" t="s">
        <v>679</v>
      </c>
      <c r="P45" s="817">
        <f>P44+P43+P42+P37+P30</f>
        <v>4221073.6522506829</v>
      </c>
      <c r="Q45" s="822"/>
    </row>
  </sheetData>
  <sheetProtection algorithmName="SHA-512" hashValue="KJEycrraGR7f5MJZ4JD4Ye3YUsjpAmEmH8j2V5djHhfltVoL+0ssEuK60EMCXb4N9S9p62QhVBsiPZK2WOqjbw==" saltValue="4JWxxXtlOmJZBSMjCd3sgw==" spinCount="100000" sheet="1" objects="1" scenarios="1"/>
  <mergeCells count="1">
    <mergeCell ref="A1:E1"/>
  </mergeCells>
  <pageMargins left="0.7" right="0.7" top="0.75" bottom="0.75" header="0.3" footer="0.3"/>
  <pageSetup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DE3B-2D33-2642-A2EB-88F6968036AA}">
  <sheetPr>
    <tabColor theme="9"/>
  </sheetPr>
  <dimension ref="A16:V63"/>
  <sheetViews>
    <sheetView zoomScale="150" zoomScaleNormal="150" workbookViewId="0">
      <selection activeCell="E18" sqref="E18"/>
    </sheetView>
  </sheetViews>
  <sheetFormatPr defaultColWidth="11" defaultRowHeight="15.75"/>
  <cols>
    <col min="1" max="1" width="28.375" customWidth="1"/>
    <col min="2" max="2" width="19" customWidth="1"/>
    <col min="3" max="3" width="4.375" customWidth="1"/>
    <col min="4" max="4" width="7.625" customWidth="1"/>
    <col min="5" max="5" width="12" customWidth="1"/>
    <col min="6" max="7" width="20.625" customWidth="1"/>
    <col min="8" max="8" width="11.875" bestFit="1" customWidth="1"/>
    <col min="9" max="9" width="10.875" customWidth="1"/>
    <col min="11" max="11" width="9.625" bestFit="1" customWidth="1"/>
    <col min="12" max="12" width="8" bestFit="1" customWidth="1"/>
    <col min="13" max="13" width="8.125" bestFit="1" customWidth="1"/>
    <col min="14" max="14" width="10.5" bestFit="1" customWidth="1"/>
  </cols>
  <sheetData>
    <row r="16" spans="8:9">
      <c r="H16" t="s">
        <v>259</v>
      </c>
      <c r="I16" s="128" t="s">
        <v>260</v>
      </c>
    </row>
    <row r="18" spans="1:22" s="10" customFormat="1">
      <c r="A18" s="115" t="s">
        <v>126</v>
      </c>
      <c r="B18" s="115" t="s">
        <v>127</v>
      </c>
      <c r="C18" s="115" t="s">
        <v>128</v>
      </c>
      <c r="D18" s="115" t="s">
        <v>114</v>
      </c>
      <c r="E18" s="10">
        <v>2011</v>
      </c>
      <c r="F18" s="10">
        <v>2020</v>
      </c>
      <c r="G18" s="10">
        <v>2030</v>
      </c>
      <c r="H18" s="10">
        <v>2050</v>
      </c>
    </row>
    <row r="19" spans="1:22">
      <c r="A19" t="s">
        <v>132</v>
      </c>
      <c r="B19" t="s">
        <v>129</v>
      </c>
      <c r="C19" t="s">
        <v>21</v>
      </c>
      <c r="E19" s="144">
        <f>52721772*A37</f>
        <v>47828443.904164895</v>
      </c>
    </row>
    <row r="20" spans="1:22">
      <c r="A20" t="s">
        <v>132</v>
      </c>
      <c r="B20" t="s">
        <v>130</v>
      </c>
      <c r="C20" t="s">
        <v>133</v>
      </c>
      <c r="F20" s="144">
        <v>72771.638000000006</v>
      </c>
      <c r="G20" s="145">
        <f>H20</f>
        <v>266830.92777893698</v>
      </c>
      <c r="H20" s="145">
        <f>B29</f>
        <v>266830.92777893698</v>
      </c>
    </row>
    <row r="21" spans="1:22">
      <c r="A21" t="s">
        <v>132</v>
      </c>
      <c r="B21" t="s">
        <v>131</v>
      </c>
      <c r="C21" t="s">
        <v>133</v>
      </c>
      <c r="D21" s="125"/>
      <c r="F21" s="124">
        <v>0</v>
      </c>
      <c r="G21" s="186">
        <f>H21</f>
        <v>210018.92077556154</v>
      </c>
      <c r="H21" s="186">
        <f>B33</f>
        <v>210018.92077556154</v>
      </c>
      <c r="I21" s="72" t="s">
        <v>465</v>
      </c>
    </row>
    <row r="22" spans="1:22">
      <c r="D22" s="126"/>
      <c r="V22" s="143"/>
    </row>
    <row r="23" spans="1:22" s="10" customFormat="1">
      <c r="A23" s="150" t="s">
        <v>239</v>
      </c>
      <c r="B23" s="10" t="s">
        <v>199</v>
      </c>
      <c r="C23" s="10" t="s">
        <v>128</v>
      </c>
      <c r="D23" s="136"/>
      <c r="E23" s="10" t="s">
        <v>114</v>
      </c>
      <c r="F23" s="10" t="s">
        <v>112</v>
      </c>
    </row>
    <row r="24" spans="1:22">
      <c r="A24" t="s">
        <v>239</v>
      </c>
      <c r="D24" s="125"/>
    </row>
    <row r="25" spans="1:22">
      <c r="A25" t="s">
        <v>240</v>
      </c>
      <c r="B25" s="2">
        <v>297986</v>
      </c>
      <c r="C25" t="s">
        <v>176</v>
      </c>
      <c r="D25" s="125"/>
      <c r="E25" t="s">
        <v>466</v>
      </c>
    </row>
    <row r="26" spans="1:22">
      <c r="A26" t="s">
        <v>241</v>
      </c>
      <c r="B26" s="2">
        <v>126004</v>
      </c>
      <c r="C26" t="s">
        <v>176</v>
      </c>
      <c r="D26" s="125"/>
      <c r="E26" t="s">
        <v>466</v>
      </c>
    </row>
    <row r="27" spans="1:22">
      <c r="A27" t="s">
        <v>243</v>
      </c>
      <c r="B27" s="2">
        <f>E19</f>
        <v>47828443.904164895</v>
      </c>
      <c r="C27" t="s">
        <v>21</v>
      </c>
      <c r="D27" s="125"/>
      <c r="E27" t="s">
        <v>466</v>
      </c>
      <c r="F27" t="s">
        <v>467</v>
      </c>
    </row>
    <row r="28" spans="1:22">
      <c r="A28" t="s">
        <v>243</v>
      </c>
      <c r="B28" s="2">
        <f>B27/B26</f>
        <v>379.57877451640343</v>
      </c>
      <c r="C28" t="s">
        <v>244</v>
      </c>
      <c r="D28" s="125"/>
      <c r="F28" t="s">
        <v>468</v>
      </c>
    </row>
    <row r="29" spans="1:22">
      <c r="A29" t="s">
        <v>243</v>
      </c>
      <c r="B29" s="2">
        <f>294130.4*A37</f>
        <v>266830.92777893698</v>
      </c>
      <c r="C29" t="s">
        <v>133</v>
      </c>
      <c r="D29" s="125"/>
      <c r="E29" t="s">
        <v>466</v>
      </c>
    </row>
    <row r="30" spans="1:22">
      <c r="A30" t="s">
        <v>243</v>
      </c>
      <c r="B30" s="185">
        <f>B29/B26</f>
        <v>2.1176385494026935</v>
      </c>
      <c r="C30" t="s">
        <v>244</v>
      </c>
      <c r="D30" s="125"/>
      <c r="F30" t="s">
        <v>468</v>
      </c>
    </row>
    <row r="31" spans="1:22">
      <c r="A31" t="s">
        <v>242</v>
      </c>
      <c r="B31" s="2">
        <v>99176</v>
      </c>
      <c r="C31" t="s">
        <v>176</v>
      </c>
      <c r="D31" s="125"/>
      <c r="E31" t="s">
        <v>466</v>
      </c>
    </row>
    <row r="32" spans="1:22">
      <c r="A32" t="s">
        <v>245</v>
      </c>
      <c r="B32" s="2">
        <f>B31*B28</f>
        <v>37645104.541438825</v>
      </c>
      <c r="C32" t="s">
        <v>21</v>
      </c>
      <c r="D32" s="125"/>
      <c r="F32" t="s">
        <v>468</v>
      </c>
    </row>
    <row r="33" spans="1:20">
      <c r="A33" t="s">
        <v>245</v>
      </c>
      <c r="B33" s="2">
        <f>B31*B30</f>
        <v>210018.92077556154</v>
      </c>
      <c r="C33" t="s">
        <v>133</v>
      </c>
      <c r="D33" s="125"/>
      <c r="F33" t="s">
        <v>468</v>
      </c>
    </row>
    <row r="34" spans="1:20">
      <c r="B34" s="2"/>
      <c r="D34" s="125"/>
    </row>
    <row r="35" spans="1:20">
      <c r="A35" s="184" t="s">
        <v>238</v>
      </c>
    </row>
    <row r="36" spans="1:20">
      <c r="A36">
        <v>1</v>
      </c>
      <c r="B36" t="s">
        <v>235</v>
      </c>
      <c r="C36" t="s">
        <v>237</v>
      </c>
      <c r="D36" s="183">
        <v>1.1023099999999999</v>
      </c>
      <c r="E36" t="s">
        <v>236</v>
      </c>
    </row>
    <row r="37" spans="1:20">
      <c r="A37" s="183">
        <f>A36/D36</f>
        <v>0.90718581887127947</v>
      </c>
      <c r="B37" t="s">
        <v>235</v>
      </c>
      <c r="C37" t="s">
        <v>237</v>
      </c>
      <c r="D37">
        <v>1</v>
      </c>
      <c r="E37" t="s">
        <v>236</v>
      </c>
    </row>
    <row r="38" spans="1:20">
      <c r="M38" s="837"/>
      <c r="N38" s="837"/>
      <c r="O38" s="837"/>
      <c r="P38" s="837"/>
      <c r="Q38" s="837"/>
      <c r="R38" s="837"/>
      <c r="S38" s="837"/>
      <c r="T38" s="837"/>
    </row>
    <row r="39" spans="1:20" ht="17.100000000000001" customHeight="1"/>
    <row r="40" spans="1:20">
      <c r="B40" s="142"/>
      <c r="C40" s="142"/>
      <c r="D40" s="142"/>
      <c r="E40" s="142"/>
      <c r="F40" s="142"/>
      <c r="G40" s="149"/>
      <c r="H40" s="142"/>
      <c r="M40" s="125"/>
    </row>
    <row r="41" spans="1:20" ht="17.25">
      <c r="D41" s="125"/>
      <c r="H41" t="s">
        <v>259</v>
      </c>
      <c r="I41" s="143" t="s">
        <v>178</v>
      </c>
      <c r="M41" s="127"/>
    </row>
    <row r="42" spans="1:20" ht="17.25">
      <c r="M42" s="127"/>
    </row>
    <row r="43" spans="1:20" ht="17.25">
      <c r="M43" s="127"/>
    </row>
    <row r="44" spans="1:20">
      <c r="M44" s="128"/>
    </row>
    <row r="45" spans="1:20">
      <c r="M45" s="128"/>
    </row>
    <row r="46" spans="1:20">
      <c r="M46" s="128"/>
    </row>
    <row r="47" spans="1:20" ht="17.25">
      <c r="M47" s="127"/>
    </row>
    <row r="48" spans="1:20" ht="17.25">
      <c r="M48" s="127"/>
    </row>
    <row r="49" spans="1:13">
      <c r="M49" s="128"/>
    </row>
    <row r="50" spans="1:13" ht="16.5">
      <c r="M50" s="129"/>
    </row>
    <row r="51" spans="1:13" ht="16.5">
      <c r="M51" s="129"/>
    </row>
    <row r="52" spans="1:13" ht="17.25">
      <c r="M52" s="127"/>
    </row>
    <row r="53" spans="1:13" ht="17.25">
      <c r="M53" s="127"/>
    </row>
    <row r="54" spans="1:13" ht="17.25">
      <c r="M54" s="127"/>
    </row>
    <row r="55" spans="1:13" ht="17.25">
      <c r="M55" s="127"/>
    </row>
    <row r="56" spans="1:13" ht="17.25">
      <c r="M56" s="127"/>
    </row>
    <row r="57" spans="1:13" ht="17.25">
      <c r="M57" s="127"/>
    </row>
    <row r="58" spans="1:13" ht="17.25">
      <c r="M58" s="127"/>
    </row>
    <row r="59" spans="1:13" ht="17.25">
      <c r="M59" s="131"/>
    </row>
    <row r="60" spans="1:13" ht="17.25">
      <c r="M60" s="132"/>
    </row>
    <row r="61" spans="1:13" ht="17.25">
      <c r="A61" s="130"/>
      <c r="M61" s="132"/>
    </row>
    <row r="62" spans="1:13" ht="17.25">
      <c r="M62" s="133"/>
    </row>
    <row r="63" spans="1:13" ht="17.25">
      <c r="M63" s="133"/>
    </row>
  </sheetData>
  <sheetProtection sheet="1" objects="1" scenarios="1"/>
  <mergeCells count="1">
    <mergeCell ref="M38:T38"/>
  </mergeCells>
  <hyperlinks>
    <hyperlink ref="I41" r:id="rId1" xr:uid="{575E99F7-1A5F-514E-B046-FBC683A602BC}"/>
    <hyperlink ref="I16" r:id="rId2" xr:uid="{987FDE93-067B-8142-85E5-48466CAF83EC}"/>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68932-59CD-2A45-8104-8A40FC6CD770}">
  <sheetPr>
    <tabColor theme="0" tint="-0.34998626667073579"/>
    <pageSetUpPr fitToPage="1"/>
  </sheetPr>
  <dimension ref="A1:AT116"/>
  <sheetViews>
    <sheetView zoomScale="130" zoomScaleNormal="130" workbookViewId="0">
      <pane xSplit="1" topLeftCell="T1" activePane="topRight" state="frozen"/>
      <selection activeCell="V13" sqref="V13"/>
      <selection pane="topRight" activeCell="V27" sqref="V27"/>
    </sheetView>
  </sheetViews>
  <sheetFormatPr defaultColWidth="9.125" defaultRowHeight="12.75"/>
  <cols>
    <col min="1" max="1" width="64" style="16" customWidth="1"/>
    <col min="2" max="13" width="10.5" style="16" bestFit="1" customWidth="1"/>
    <col min="14" max="16" width="14.375" style="16" customWidth="1"/>
    <col min="17" max="17" width="12.875" style="16" bestFit="1" customWidth="1"/>
    <col min="18" max="22" width="12.875" style="16" customWidth="1"/>
    <col min="23" max="23" width="15.5" style="16" customWidth="1"/>
    <col min="24" max="24" width="13.875" style="16" customWidth="1"/>
    <col min="25" max="25" width="10.5" style="16" customWidth="1"/>
    <col min="26" max="26" width="23.625" style="16" bestFit="1" customWidth="1"/>
    <col min="27" max="27" width="14.125" style="16" customWidth="1"/>
    <col min="28" max="28" width="12.875" style="16" bestFit="1" customWidth="1"/>
    <col min="29" max="29" width="20.5" style="16" bestFit="1" customWidth="1"/>
    <col min="30" max="30" width="10.375" style="16" bestFit="1" customWidth="1"/>
    <col min="31" max="16384" width="9.125" style="16"/>
  </cols>
  <sheetData>
    <row r="1" spans="1:46">
      <c r="A1" s="15" t="s">
        <v>22</v>
      </c>
      <c r="P1" s="17"/>
    </row>
    <row r="2" spans="1:46">
      <c r="A2" s="18" t="s">
        <v>23</v>
      </c>
      <c r="P2" s="17"/>
      <c r="Q2" s="19"/>
      <c r="R2" s="19"/>
      <c r="S2" s="19"/>
      <c r="T2" s="19"/>
      <c r="U2" s="19"/>
      <c r="V2" s="19"/>
      <c r="W2" s="19"/>
    </row>
    <row r="3" spans="1:46">
      <c r="A3" s="18" t="s">
        <v>24</v>
      </c>
      <c r="O3" s="20"/>
      <c r="P3" s="17"/>
      <c r="Q3" s="21"/>
      <c r="R3" s="22"/>
      <c r="S3" s="22"/>
      <c r="T3" s="22"/>
      <c r="U3" s="22"/>
      <c r="V3" s="22"/>
      <c r="W3" s="22"/>
      <c r="X3" s="23"/>
      <c r="AB3" s="24"/>
      <c r="AC3" s="23"/>
    </row>
    <row r="4" spans="1:46">
      <c r="M4" s="24"/>
      <c r="AB4" s="24"/>
      <c r="AC4" s="23"/>
    </row>
    <row r="5" spans="1:46">
      <c r="A5" s="15" t="s">
        <v>25</v>
      </c>
      <c r="AB5" s="24"/>
      <c r="AC5" s="23"/>
    </row>
    <row r="6" spans="1:46">
      <c r="A6" s="15"/>
      <c r="AB6" s="24"/>
      <c r="AC6" s="23"/>
    </row>
    <row r="7" spans="1:46">
      <c r="A7" s="25" t="s">
        <v>26</v>
      </c>
      <c r="B7" s="25">
        <v>1990</v>
      </c>
      <c r="C7" s="25">
        <v>1995</v>
      </c>
      <c r="D7" s="25">
        <v>1999</v>
      </c>
      <c r="E7" s="25">
        <v>2000</v>
      </c>
      <c r="F7" s="25">
        <v>2001</v>
      </c>
      <c r="G7" s="25">
        <v>2002</v>
      </c>
      <c r="H7" s="25">
        <v>2003</v>
      </c>
      <c r="I7" s="25">
        <v>2004</v>
      </c>
      <c r="J7" s="25">
        <v>2005</v>
      </c>
      <c r="K7" s="26">
        <v>2006</v>
      </c>
      <c r="L7" s="26">
        <v>2007</v>
      </c>
      <c r="M7" s="26">
        <v>2008</v>
      </c>
      <c r="N7" s="26">
        <v>2009</v>
      </c>
      <c r="O7" s="26">
        <v>2010</v>
      </c>
      <c r="P7" s="26">
        <v>2011</v>
      </c>
      <c r="Q7" s="26">
        <v>2012</v>
      </c>
      <c r="R7" s="26">
        <v>2013</v>
      </c>
      <c r="S7" s="26">
        <v>2014</v>
      </c>
      <c r="T7" s="26">
        <v>2015</v>
      </c>
      <c r="U7" s="26">
        <v>2016</v>
      </c>
      <c r="V7" s="26">
        <v>2017</v>
      </c>
      <c r="W7" s="839" t="s">
        <v>27</v>
      </c>
      <c r="X7" s="839" t="s">
        <v>28</v>
      </c>
      <c r="Y7" s="27"/>
      <c r="Z7" s="27"/>
      <c r="AB7" s="24"/>
      <c r="AC7" s="23"/>
    </row>
    <row r="8" spans="1:46">
      <c r="W8" s="840"/>
      <c r="X8" s="840"/>
      <c r="Y8" s="28"/>
      <c r="Z8" s="28"/>
      <c r="AA8" s="24"/>
      <c r="AB8" s="29"/>
      <c r="AC8" s="23"/>
      <c r="AP8" s="30"/>
      <c r="AQ8" s="30"/>
      <c r="AR8" s="30"/>
      <c r="AS8" s="30"/>
    </row>
    <row r="9" spans="1:46" s="35" customFormat="1" ht="15.75">
      <c r="A9" s="31" t="s">
        <v>29</v>
      </c>
      <c r="B9" s="32">
        <v>1725287</v>
      </c>
      <c r="C9" s="32">
        <v>1755648</v>
      </c>
      <c r="D9" s="32">
        <v>1849527</v>
      </c>
      <c r="E9" s="32">
        <v>2007213</v>
      </c>
      <c r="F9" s="32">
        <v>1997722</v>
      </c>
      <c r="G9" s="32">
        <v>1934359</v>
      </c>
      <c r="H9" s="32">
        <v>1836547</v>
      </c>
      <c r="I9" s="32">
        <v>1690227</v>
      </c>
      <c r="J9" s="32">
        <v>1639341</v>
      </c>
      <c r="K9" s="32">
        <v>1675219</v>
      </c>
      <c r="L9" s="32">
        <v>1616336</v>
      </c>
      <c r="M9" s="32">
        <v>1653947</v>
      </c>
      <c r="N9" s="32">
        <v>1658144</v>
      </c>
      <c r="O9" s="32">
        <v>1553278</v>
      </c>
      <c r="P9" s="32">
        <v>1635196</v>
      </c>
      <c r="Q9" s="32">
        <v>1342445</v>
      </c>
      <c r="R9" s="32">
        <v>1367385</v>
      </c>
      <c r="S9" s="32">
        <v>1593732</v>
      </c>
      <c r="T9" s="32">
        <v>1437719</v>
      </c>
      <c r="U9" s="32">
        <v>1189650</v>
      </c>
      <c r="V9" s="32">
        <v>1396551</v>
      </c>
      <c r="W9" s="33">
        <f>V9/U9-1</f>
        <v>0.17391753877190763</v>
      </c>
      <c r="X9" s="34">
        <f>V9/B9-1</f>
        <v>-0.19053989278305583</v>
      </c>
      <c r="AB9" s="36"/>
      <c r="AC9" s="23"/>
      <c r="AO9" s="37"/>
      <c r="AP9" s="38"/>
      <c r="AQ9" s="38"/>
      <c r="AR9" s="38"/>
      <c r="AS9" s="38"/>
    </row>
    <row r="10" spans="1:46" ht="15.75">
      <c r="A10" s="24"/>
      <c r="B10" s="32"/>
      <c r="C10" s="32"/>
      <c r="D10" s="32"/>
      <c r="E10" s="32"/>
      <c r="F10" s="32"/>
      <c r="G10" s="32"/>
      <c r="H10" s="32"/>
      <c r="I10" s="32"/>
      <c r="J10" s="32"/>
      <c r="K10" s="32"/>
      <c r="L10" s="32"/>
      <c r="M10" s="32"/>
      <c r="N10" s="32"/>
      <c r="O10" s="32"/>
      <c r="P10" s="32"/>
      <c r="Q10" s="32"/>
      <c r="R10" s="32"/>
      <c r="S10" s="32"/>
      <c r="T10" s="32"/>
      <c r="U10" s="32"/>
      <c r="V10" s="32"/>
      <c r="W10" s="33"/>
      <c r="X10" s="34"/>
      <c r="AO10" s="24"/>
      <c r="AP10" s="38"/>
      <c r="AQ10" s="38"/>
      <c r="AR10" s="39"/>
      <c r="AS10" s="39"/>
    </row>
    <row r="11" spans="1:46" s="35" customFormat="1" ht="14.25" customHeight="1">
      <c r="A11" s="31" t="s">
        <v>30</v>
      </c>
      <c r="B11" s="32">
        <v>1876596</v>
      </c>
      <c r="C11" s="32">
        <v>2042152</v>
      </c>
      <c r="D11" s="32">
        <v>2134542</v>
      </c>
      <c r="E11" s="32">
        <v>2393380</v>
      </c>
      <c r="F11" s="32">
        <v>2399566</v>
      </c>
      <c r="G11" s="32">
        <v>2285352</v>
      </c>
      <c r="H11" s="32">
        <v>2181299</v>
      </c>
      <c r="I11" s="32">
        <v>2035008</v>
      </c>
      <c r="J11" s="32">
        <v>2005587</v>
      </c>
      <c r="K11" s="32">
        <v>2067089</v>
      </c>
      <c r="L11" s="32">
        <v>2004971</v>
      </c>
      <c r="M11" s="32">
        <v>2024914</v>
      </c>
      <c r="N11" s="32">
        <v>1933092</v>
      </c>
      <c r="O11" s="32">
        <v>1891863</v>
      </c>
      <c r="P11" s="32">
        <v>1923245</v>
      </c>
      <c r="Q11" s="32">
        <v>1574688</v>
      </c>
      <c r="R11" s="32">
        <v>1584840</v>
      </c>
      <c r="S11" s="32">
        <v>2009853</v>
      </c>
      <c r="T11" s="32">
        <v>2004309</v>
      </c>
      <c r="U11" s="32">
        <v>1579286</v>
      </c>
      <c r="V11" s="32">
        <v>1679696</v>
      </c>
      <c r="W11" s="33">
        <f t="shared" ref="W11:W19" si="0">V11/U11-1</f>
        <v>6.3579364345659917E-2</v>
      </c>
      <c r="X11" s="34">
        <f t="shared" ref="X11:X19" si="1">V11/B11-1</f>
        <v>-0.10492402200580198</v>
      </c>
      <c r="AA11" s="16"/>
      <c r="AB11" s="24"/>
      <c r="AO11" s="37"/>
      <c r="AP11" s="38"/>
      <c r="AQ11" s="38"/>
      <c r="AR11" s="38"/>
      <c r="AS11" s="39"/>
      <c r="AT11" s="16"/>
    </row>
    <row r="12" spans="1:46" ht="15.75">
      <c r="A12" s="24"/>
      <c r="B12" s="32"/>
      <c r="C12" s="32"/>
      <c r="D12" s="32"/>
      <c r="E12" s="32"/>
      <c r="F12" s="32"/>
      <c r="G12" s="32"/>
      <c r="H12" s="32"/>
      <c r="I12" s="32"/>
      <c r="J12" s="32"/>
      <c r="K12" s="32"/>
      <c r="L12" s="32"/>
      <c r="M12" s="32"/>
      <c r="N12" s="32"/>
      <c r="O12" s="32"/>
      <c r="P12" s="32"/>
      <c r="Q12" s="32"/>
      <c r="R12" s="32"/>
      <c r="S12" s="32"/>
      <c r="T12" s="32"/>
      <c r="U12" s="32"/>
      <c r="V12" s="32"/>
      <c r="W12" s="33"/>
      <c r="X12" s="34"/>
      <c r="AO12" s="24"/>
      <c r="AP12" s="24"/>
      <c r="AQ12" s="37"/>
      <c r="AR12" s="37"/>
      <c r="AS12" s="37"/>
      <c r="AT12" s="35"/>
    </row>
    <row r="13" spans="1:46" s="35" customFormat="1" ht="15.75">
      <c r="A13" s="31" t="s">
        <v>31</v>
      </c>
      <c r="B13" s="32">
        <v>1891448</v>
      </c>
      <c r="C13" s="32">
        <v>2103634</v>
      </c>
      <c r="D13" s="32">
        <v>2314244</v>
      </c>
      <c r="E13" s="32">
        <v>2298917</v>
      </c>
      <c r="F13" s="32">
        <v>2039112</v>
      </c>
      <c r="G13" s="32">
        <v>1852853</v>
      </c>
      <c r="H13" s="32">
        <v>1634145</v>
      </c>
      <c r="I13" s="32">
        <v>1543706</v>
      </c>
      <c r="J13" s="32">
        <v>1469937</v>
      </c>
      <c r="K13" s="32">
        <v>1526306</v>
      </c>
      <c r="L13" s="32">
        <v>1415186</v>
      </c>
      <c r="M13" s="32">
        <v>1420897</v>
      </c>
      <c r="N13" s="32">
        <v>1295088</v>
      </c>
      <c r="O13" s="32">
        <v>1334571</v>
      </c>
      <c r="P13" s="32">
        <v>1432393</v>
      </c>
      <c r="Q13" s="32">
        <v>1237297</v>
      </c>
      <c r="R13" s="32">
        <v>1192860</v>
      </c>
      <c r="S13" s="32">
        <v>1396629</v>
      </c>
      <c r="T13" s="32">
        <v>1391288</v>
      </c>
      <c r="U13" s="32">
        <v>1173003</v>
      </c>
      <c r="V13" s="32">
        <v>1098880</v>
      </c>
      <c r="W13" s="33">
        <f t="shared" si="0"/>
        <v>-6.3190801728554846E-2</v>
      </c>
      <c r="X13" s="34">
        <f t="shared" si="1"/>
        <v>-0.41902711573355444</v>
      </c>
      <c r="AO13" s="37"/>
      <c r="AP13" s="24"/>
      <c r="AQ13" s="37"/>
      <c r="AR13" s="37"/>
      <c r="AS13" s="37"/>
      <c r="AT13" s="16"/>
    </row>
    <row r="14" spans="1:46" ht="15.75">
      <c r="A14" s="24"/>
      <c r="B14" s="32"/>
      <c r="C14" s="32"/>
      <c r="D14" s="32"/>
      <c r="E14" s="32"/>
      <c r="F14" s="32"/>
      <c r="G14" s="32"/>
      <c r="H14" s="32"/>
      <c r="I14" s="32"/>
      <c r="J14" s="32"/>
      <c r="K14" s="32"/>
      <c r="L14" s="32"/>
      <c r="M14" s="32"/>
      <c r="N14" s="32"/>
      <c r="O14" s="32"/>
      <c r="P14" s="32"/>
      <c r="Q14" s="32"/>
      <c r="R14" s="32"/>
      <c r="S14" s="32"/>
      <c r="T14" s="32"/>
      <c r="U14" s="32"/>
      <c r="V14" s="32"/>
      <c r="W14" s="33"/>
      <c r="X14" s="34"/>
      <c r="AO14" s="24"/>
      <c r="AP14" s="40"/>
      <c r="AQ14" s="24"/>
      <c r="AR14" s="24"/>
      <c r="AS14" s="24"/>
    </row>
    <row r="15" spans="1:46" ht="15.75">
      <c r="A15" s="41" t="s">
        <v>32</v>
      </c>
      <c r="B15" s="32">
        <v>2979109</v>
      </c>
      <c r="C15" s="32">
        <v>3155462</v>
      </c>
      <c r="D15" s="32">
        <v>3168355</v>
      </c>
      <c r="E15" s="32">
        <v>3120090</v>
      </c>
      <c r="F15" s="32">
        <v>3103385</v>
      </c>
      <c r="G15" s="32">
        <v>3299531</v>
      </c>
      <c r="H15" s="32">
        <v>3223904</v>
      </c>
      <c r="I15" s="32">
        <v>3203745</v>
      </c>
      <c r="J15" s="32">
        <v>3144837</v>
      </c>
      <c r="K15" s="32">
        <v>3237242</v>
      </c>
      <c r="L15" s="32">
        <v>3275821</v>
      </c>
      <c r="M15" s="32">
        <v>2945592</v>
      </c>
      <c r="N15" s="32">
        <v>2931841</v>
      </c>
      <c r="O15" s="32">
        <v>2940484</v>
      </c>
      <c r="P15" s="32">
        <v>2874495</v>
      </c>
      <c r="Q15" s="32">
        <v>2814737</v>
      </c>
      <c r="R15" s="32">
        <v>2823294</v>
      </c>
      <c r="S15" s="32">
        <v>2846345</v>
      </c>
      <c r="T15" s="32">
        <v>2948761</v>
      </c>
      <c r="U15" s="32">
        <v>3007898</v>
      </c>
      <c r="V15" s="32">
        <v>3215984</v>
      </c>
      <c r="W15" s="33">
        <f t="shared" si="0"/>
        <v>6.9179872455781499E-2</v>
      </c>
      <c r="X15" s="34">
        <f>V15/B15-1</f>
        <v>7.9512028596469664E-2</v>
      </c>
      <c r="Z15" s="29"/>
      <c r="AP15" s="40"/>
      <c r="AQ15" s="40"/>
      <c r="AR15" s="40"/>
      <c r="AS15" s="40"/>
    </row>
    <row r="16" spans="1:46" ht="15.75" hidden="1">
      <c r="A16" s="24"/>
      <c r="B16" s="42">
        <f>B15/$B$15-1</f>
        <v>0</v>
      </c>
      <c r="C16" s="42">
        <f t="shared" ref="C16:V16" si="2">C15/$B$15-1</f>
        <v>5.9196558434082114E-2</v>
      </c>
      <c r="D16" s="42">
        <f t="shared" si="2"/>
        <v>6.3524362485561925E-2</v>
      </c>
      <c r="E16" s="42">
        <f t="shared" si="2"/>
        <v>4.7323209724786874E-2</v>
      </c>
      <c r="F16" s="42">
        <f t="shared" si="2"/>
        <v>4.1715828457434823E-2</v>
      </c>
      <c r="G16" s="42">
        <f t="shared" si="2"/>
        <v>0.10755631969155877</v>
      </c>
      <c r="H16" s="42">
        <f t="shared" si="2"/>
        <v>8.2170541594819069E-2</v>
      </c>
      <c r="I16" s="42">
        <f t="shared" si="2"/>
        <v>7.5403753269853491E-2</v>
      </c>
      <c r="J16" s="42">
        <f t="shared" si="2"/>
        <v>5.5630055832129655E-2</v>
      </c>
      <c r="K16" s="42">
        <f t="shared" si="2"/>
        <v>8.6647719167039616E-2</v>
      </c>
      <c r="L16" s="42">
        <f>L15/$B$15-1</f>
        <v>9.9597564238166569E-2</v>
      </c>
      <c r="M16" s="42">
        <f t="shared" si="2"/>
        <v>-1.1250679313848488E-2</v>
      </c>
      <c r="N16" s="42">
        <f t="shared" si="2"/>
        <v>-1.5866488940149526E-2</v>
      </c>
      <c r="O16" s="42">
        <f t="shared" si="2"/>
        <v>-1.2965285929450676E-2</v>
      </c>
      <c r="P16" s="42">
        <f t="shared" si="2"/>
        <v>-3.5115868536532258E-2</v>
      </c>
      <c r="Q16" s="42">
        <f t="shared" si="2"/>
        <v>-5.5174886182412286E-2</v>
      </c>
      <c r="R16" s="42">
        <f t="shared" si="2"/>
        <v>-5.2302550863362218E-2</v>
      </c>
      <c r="S16" s="42">
        <f t="shared" si="2"/>
        <v>-4.4565002488999195E-2</v>
      </c>
      <c r="T16" s="42">
        <f t="shared" si="2"/>
        <v>-1.0186938443675575E-2</v>
      </c>
      <c r="U16" s="42">
        <f t="shared" si="2"/>
        <v>9.6636276148338585E-3</v>
      </c>
      <c r="V16" s="42">
        <f t="shared" si="2"/>
        <v>7.9512028596469664E-2</v>
      </c>
      <c r="W16" s="33"/>
      <c r="X16" s="34"/>
      <c r="AP16" s="43"/>
      <c r="AQ16" s="43"/>
      <c r="AR16" s="43"/>
      <c r="AS16" s="43"/>
    </row>
    <row r="17" spans="1:46" ht="15.75">
      <c r="A17" s="41" t="s">
        <v>33</v>
      </c>
      <c r="B17" s="32">
        <v>510022</v>
      </c>
      <c r="C17" s="32">
        <v>490021</v>
      </c>
      <c r="D17" s="32">
        <v>432202</v>
      </c>
      <c r="E17" s="32">
        <v>423228</v>
      </c>
      <c r="F17" s="32">
        <v>401309</v>
      </c>
      <c r="G17" s="32">
        <v>446122</v>
      </c>
      <c r="H17" s="32">
        <v>498451</v>
      </c>
      <c r="I17" s="32">
        <v>470213</v>
      </c>
      <c r="J17" s="32">
        <v>474260</v>
      </c>
      <c r="K17" s="32">
        <v>502516</v>
      </c>
      <c r="L17" s="32">
        <v>461769</v>
      </c>
      <c r="M17" s="32">
        <v>429818</v>
      </c>
      <c r="N17" s="32">
        <v>358127</v>
      </c>
      <c r="O17" s="32">
        <v>98240</v>
      </c>
      <c r="P17" s="32">
        <v>97709</v>
      </c>
      <c r="Q17" s="32">
        <v>92845</v>
      </c>
      <c r="R17" s="32">
        <v>106755</v>
      </c>
      <c r="S17" s="32">
        <v>102441</v>
      </c>
      <c r="T17" s="32">
        <v>117188</v>
      </c>
      <c r="U17" s="32">
        <v>116571</v>
      </c>
      <c r="V17" s="629">
        <v>109906</v>
      </c>
      <c r="W17" s="33">
        <f t="shared" si="0"/>
        <v>-5.7175455301919031E-2</v>
      </c>
      <c r="X17" s="34">
        <f t="shared" si="1"/>
        <v>-0.78450733497770686</v>
      </c>
      <c r="Y17" s="75"/>
      <c r="Z17" t="s">
        <v>489</v>
      </c>
    </row>
    <row r="18" spans="1:46" ht="15.75" hidden="1">
      <c r="A18" s="41"/>
      <c r="B18" s="32"/>
      <c r="C18" s="32"/>
      <c r="D18" s="32"/>
      <c r="E18" s="32"/>
      <c r="F18" s="32"/>
      <c r="G18" s="32"/>
      <c r="H18" s="32"/>
      <c r="I18" s="32"/>
      <c r="J18" s="32"/>
      <c r="K18" s="32"/>
      <c r="L18" s="32"/>
      <c r="M18" s="32"/>
      <c r="N18" s="32"/>
      <c r="O18" s="32"/>
      <c r="P18" s="32"/>
      <c r="Q18" s="32"/>
      <c r="R18" s="32"/>
      <c r="S18" s="32"/>
      <c r="T18" s="32"/>
      <c r="U18" s="32"/>
      <c r="V18" s="32"/>
      <c r="W18" s="33"/>
      <c r="X18" s="34"/>
      <c r="Y18" s="15"/>
    </row>
    <row r="19" spans="1:46" ht="15.75">
      <c r="A19" s="41" t="s">
        <v>34</v>
      </c>
      <c r="B19" s="32">
        <v>19483</v>
      </c>
      <c r="C19" s="32">
        <v>22734</v>
      </c>
      <c r="M19" s="24"/>
      <c r="N19" s="32">
        <v>14733</v>
      </c>
      <c r="O19" s="32">
        <v>14855</v>
      </c>
      <c r="P19" s="32">
        <v>14953</v>
      </c>
      <c r="Q19" s="32">
        <v>17238</v>
      </c>
      <c r="R19" s="32">
        <v>17271</v>
      </c>
      <c r="S19" s="32">
        <v>18312</v>
      </c>
      <c r="T19" s="32">
        <v>17902</v>
      </c>
      <c r="U19" s="32">
        <v>16755</v>
      </c>
      <c r="V19" s="629">
        <v>17244</v>
      </c>
      <c r="W19" s="33">
        <f t="shared" si="0"/>
        <v>2.9185317815577427E-2</v>
      </c>
      <c r="X19" s="34">
        <f t="shared" si="1"/>
        <v>-0.11492070009752087</v>
      </c>
      <c r="Y19" s="15"/>
    </row>
    <row r="20" spans="1:46" ht="15.75" hidden="1">
      <c r="A20" s="44"/>
      <c r="B20" s="32"/>
      <c r="C20" s="32"/>
      <c r="D20" s="32"/>
      <c r="E20" s="32"/>
      <c r="F20" s="32"/>
      <c r="G20" s="32"/>
      <c r="H20" s="32"/>
      <c r="I20" s="32"/>
      <c r="J20" s="32"/>
      <c r="K20" s="32"/>
      <c r="L20" s="32"/>
      <c r="M20" s="32"/>
      <c r="N20" s="32"/>
      <c r="O20" s="32"/>
      <c r="P20" s="32"/>
      <c r="Q20" s="32"/>
      <c r="R20" s="32"/>
      <c r="S20" s="32"/>
      <c r="T20" s="32"/>
      <c r="U20" s="32"/>
      <c r="V20" s="32"/>
      <c r="W20" s="33"/>
      <c r="X20" s="34"/>
    </row>
    <row r="21" spans="1:46" ht="15.75">
      <c r="A21" s="44" t="s">
        <v>35</v>
      </c>
      <c r="B21" s="32">
        <v>35701</v>
      </c>
      <c r="C21" s="32">
        <v>76370</v>
      </c>
      <c r="D21" s="32">
        <v>125246</v>
      </c>
      <c r="E21" s="32">
        <v>132818</v>
      </c>
      <c r="F21" s="32">
        <v>138920</v>
      </c>
      <c r="G21" s="32">
        <v>143723</v>
      </c>
      <c r="H21" s="32">
        <v>145779</v>
      </c>
      <c r="I21" s="32">
        <v>148974</v>
      </c>
      <c r="J21" s="32">
        <v>153025</v>
      </c>
      <c r="K21" s="32">
        <v>163051</v>
      </c>
      <c r="L21" s="32">
        <v>174130</v>
      </c>
      <c r="M21" s="32">
        <v>186550</v>
      </c>
      <c r="N21" s="32">
        <v>198477</v>
      </c>
      <c r="O21" s="32">
        <v>184276</v>
      </c>
      <c r="P21" s="32">
        <v>183847</v>
      </c>
      <c r="Q21" s="32">
        <v>191207</v>
      </c>
      <c r="R21" s="32">
        <v>168034</v>
      </c>
      <c r="S21" s="32">
        <v>173158</v>
      </c>
      <c r="T21" s="32">
        <v>184078</v>
      </c>
      <c r="U21" s="32">
        <v>183318</v>
      </c>
      <c r="V21" s="629">
        <v>182859</v>
      </c>
      <c r="W21" s="33">
        <f>V21/U21-1</f>
        <v>-2.5038457761922261E-3</v>
      </c>
      <c r="X21" s="34">
        <f>V21/B21-1</f>
        <v>4.121957368140948</v>
      </c>
    </row>
    <row r="22" spans="1:46" hidden="1">
      <c r="A22" s="44"/>
      <c r="B22" s="41"/>
      <c r="C22" s="41"/>
      <c r="D22" s="41"/>
      <c r="E22" s="41"/>
      <c r="F22" s="41"/>
      <c r="G22" s="41"/>
      <c r="H22" s="41"/>
      <c r="I22" s="41"/>
      <c r="J22" s="41"/>
      <c r="N22" s="20"/>
      <c r="O22" s="20"/>
      <c r="P22" s="45"/>
      <c r="Q22" s="45"/>
      <c r="R22" s="45"/>
      <c r="S22" s="46"/>
      <c r="T22" s="46"/>
      <c r="U22" s="46"/>
      <c r="V22" s="46"/>
      <c r="W22" s="33"/>
      <c r="X22" s="34"/>
    </row>
    <row r="23" spans="1:46" s="15" customFormat="1">
      <c r="A23" s="47" t="s">
        <v>1</v>
      </c>
      <c r="B23" s="43">
        <f>SUM(B9:B22)</f>
        <v>9037646</v>
      </c>
      <c r="C23" s="43">
        <f>SUM(C9:C21)</f>
        <v>9646021.0591965578</v>
      </c>
      <c r="D23" s="43">
        <f>SUM(D9:D22)</f>
        <v>10024116.063524362</v>
      </c>
      <c r="E23" s="43">
        <f>SUM(E9:E22)</f>
        <v>10375646.04732321</v>
      </c>
      <c r="F23" s="43">
        <f t="shared" ref="F23:U23" si="3">SUM(F9:F22)</f>
        <v>10080014.041715829</v>
      </c>
      <c r="G23" s="43">
        <f t="shared" si="3"/>
        <v>9961940.1075563189</v>
      </c>
      <c r="H23" s="43">
        <f t="shared" si="3"/>
        <v>9520125.0821705423</v>
      </c>
      <c r="I23" s="43">
        <f t="shared" si="3"/>
        <v>9091873.0754037537</v>
      </c>
      <c r="J23" s="43">
        <f t="shared" si="3"/>
        <v>8886987.0556300562</v>
      </c>
      <c r="K23" s="43">
        <f t="shared" si="3"/>
        <v>9171423.0866477191</v>
      </c>
      <c r="L23" s="43">
        <f t="shared" si="3"/>
        <v>8948213.099597564</v>
      </c>
      <c r="M23" s="43">
        <f t="shared" si="3"/>
        <v>8661717.9887493216</v>
      </c>
      <c r="N23" s="43">
        <f t="shared" si="3"/>
        <v>8389501.9841335118</v>
      </c>
      <c r="O23" s="43">
        <f t="shared" si="3"/>
        <v>8017566.9870347138</v>
      </c>
      <c r="P23" s="43">
        <f t="shared" si="3"/>
        <v>8161837.9648841312</v>
      </c>
      <c r="Q23" s="43">
        <f t="shared" si="3"/>
        <v>7270456.9448251138</v>
      </c>
      <c r="R23" s="43">
        <f t="shared" si="3"/>
        <v>7260438.9476974495</v>
      </c>
      <c r="S23" s="43">
        <f t="shared" si="3"/>
        <v>8140469.9554349976</v>
      </c>
      <c r="T23" s="43">
        <f t="shared" si="3"/>
        <v>8101244.9898130614</v>
      </c>
      <c r="U23" s="43">
        <f t="shared" si="3"/>
        <v>7266481.0096636275</v>
      </c>
      <c r="V23" s="43">
        <f>SUM(V9:V22)</f>
        <v>7701120.079512029</v>
      </c>
      <c r="W23" s="33">
        <f>V23/U23-1</f>
        <v>5.9814244236017222E-2</v>
      </c>
      <c r="X23" s="34">
        <f>V23/B23-1</f>
        <v>-0.14788429647365819</v>
      </c>
      <c r="Y23" s="16"/>
      <c r="Z23" s="48"/>
      <c r="AP23" s="16"/>
      <c r="AQ23" s="16"/>
      <c r="AR23" s="16"/>
      <c r="AS23" s="16"/>
      <c r="AT23" s="16"/>
    </row>
    <row r="24" spans="1:46">
      <c r="A24" s="16" t="s">
        <v>36</v>
      </c>
      <c r="B24" s="49">
        <f>B23/B23-1</f>
        <v>0</v>
      </c>
      <c r="C24" s="23">
        <f t="shared" ref="C24:V24" si="4">C23/$B23-1</f>
        <v>6.7315654894710253E-2</v>
      </c>
      <c r="D24" s="23">
        <f>D23/$B23-1</f>
        <v>0.10915121742147926</v>
      </c>
      <c r="E24" s="23">
        <f>E23/$B23-1</f>
        <v>0.14804740607490152</v>
      </c>
      <c r="F24" s="23">
        <f t="shared" si="4"/>
        <v>0.11533623265569704</v>
      </c>
      <c r="G24" s="23">
        <f t="shared" si="4"/>
        <v>0.10227155473408889</v>
      </c>
      <c r="H24" s="23">
        <f t="shared" si="4"/>
        <v>5.3385481370983312E-2</v>
      </c>
      <c r="I24" s="23">
        <f t="shared" si="4"/>
        <v>6.0001327119643122E-3</v>
      </c>
      <c r="J24" s="23">
        <f t="shared" si="4"/>
        <v>-1.6670153308720459E-2</v>
      </c>
      <c r="K24" s="23">
        <f t="shared" si="4"/>
        <v>1.4802204760810511E-2</v>
      </c>
      <c r="L24" s="23">
        <f t="shared" si="4"/>
        <v>-9.8955967519015475E-3</v>
      </c>
      <c r="M24" s="23">
        <f t="shared" si="4"/>
        <v>-4.1595788466452288E-2</v>
      </c>
      <c r="N24" s="23">
        <f t="shared" si="4"/>
        <v>-7.171602161298285E-2</v>
      </c>
      <c r="O24" s="23">
        <f t="shared" si="4"/>
        <v>-0.11286998992495234</v>
      </c>
      <c r="P24" s="23">
        <f t="shared" si="4"/>
        <v>-9.6906654134922832E-2</v>
      </c>
      <c r="Q24" s="23">
        <f t="shared" si="4"/>
        <v>-0.19553643229386131</v>
      </c>
      <c r="R24" s="23">
        <f t="shared" si="4"/>
        <v>-0.19664490646154431</v>
      </c>
      <c r="S24" s="23">
        <f t="shared" si="4"/>
        <v>-9.9270987662606225E-2</v>
      </c>
      <c r="T24" s="23">
        <f t="shared" si="4"/>
        <v>-0.10361116270618909</v>
      </c>
      <c r="U24" s="23">
        <f t="shared" si="4"/>
        <v>-0.1959763626874047</v>
      </c>
      <c r="V24" s="48">
        <f t="shared" si="4"/>
        <v>-0.14788429647365819</v>
      </c>
      <c r="W24" s="23"/>
      <c r="X24" s="23"/>
    </row>
    <row r="25" spans="1:46">
      <c r="A25" s="16" t="s">
        <v>37</v>
      </c>
      <c r="B25" s="41"/>
      <c r="C25" s="23"/>
      <c r="D25" s="23"/>
      <c r="E25" s="23">
        <f>E23/$E23-1</f>
        <v>0</v>
      </c>
      <c r="F25" s="23">
        <f t="shared" ref="F25:V25" si="5">F23/$E23-1</f>
        <v>-2.8492876902219577E-2</v>
      </c>
      <c r="G25" s="23">
        <f t="shared" si="5"/>
        <v>-3.9872788439388018E-2</v>
      </c>
      <c r="H25" s="23">
        <f t="shared" si="5"/>
        <v>-8.2454717638848263E-2</v>
      </c>
      <c r="I25" s="23">
        <f t="shared" si="5"/>
        <v>-0.12372944933396746</v>
      </c>
      <c r="J25" s="23">
        <f t="shared" si="5"/>
        <v>-0.14347626980560013</v>
      </c>
      <c r="K25" s="23">
        <f t="shared" si="5"/>
        <v>-0.11606245579147967</v>
      </c>
      <c r="L25" s="23">
        <f t="shared" si="5"/>
        <v>-0.13757533181212422</v>
      </c>
      <c r="M25" s="23">
        <f t="shared" si="5"/>
        <v>-0.1651875989944801</v>
      </c>
      <c r="N25" s="23">
        <f t="shared" si="5"/>
        <v>-0.19142365247724491</v>
      </c>
      <c r="O25" s="23">
        <f t="shared" si="5"/>
        <v>-0.22727057664971639</v>
      </c>
      <c r="P25" s="23">
        <f t="shared" si="5"/>
        <v>-0.21336580607529632</v>
      </c>
      <c r="Q25" s="23">
        <f t="shared" si="5"/>
        <v>-0.2992766993337439</v>
      </c>
      <c r="R25" s="23">
        <f t="shared" si="5"/>
        <v>-0.30024222929515276</v>
      </c>
      <c r="S25" s="23">
        <f t="shared" si="5"/>
        <v>-0.21542524501063343</v>
      </c>
      <c r="T25" s="23">
        <f t="shared" si="5"/>
        <v>-0.21920572917933301</v>
      </c>
      <c r="U25" s="23">
        <f t="shared" si="5"/>
        <v>-0.29965989813826666</v>
      </c>
      <c r="V25" s="23">
        <f t="shared" si="5"/>
        <v>-0.25776958423723173</v>
      </c>
      <c r="W25" s="50">
        <v>50066</v>
      </c>
      <c r="X25" s="48"/>
    </row>
    <row r="26" spans="1:46">
      <c r="A26" s="44"/>
      <c r="B26" s="44"/>
      <c r="C26" s="44"/>
      <c r="D26" s="44"/>
      <c r="E26" s="44">
        <v>0</v>
      </c>
      <c r="F26" s="49">
        <v>0</v>
      </c>
      <c r="G26" s="49">
        <v>-2.2602628773587097E-2</v>
      </c>
      <c r="H26" s="49">
        <v>-2.2505305235485107E-2</v>
      </c>
      <c r="I26" s="49">
        <v>2.7123617867648164E-3</v>
      </c>
      <c r="J26" s="23">
        <v>2.608324283365504E-2</v>
      </c>
      <c r="K26" s="23">
        <v>5.2054927809948248E-2</v>
      </c>
      <c r="L26" s="23">
        <v>6.6068603983506557E-2</v>
      </c>
      <c r="M26" s="23">
        <v>8.0044477903881361E-2</v>
      </c>
      <c r="N26" s="23">
        <v>1.7245512647560135E-2</v>
      </c>
      <c r="O26" s="23">
        <v>1.0606060336049383E-2</v>
      </c>
      <c r="P26" s="23">
        <v>4.1621728690578008E-2</v>
      </c>
      <c r="Q26" s="23">
        <v>6.9274867689886221E-2</v>
      </c>
      <c r="R26" s="23">
        <v>8.155166732662833E-2</v>
      </c>
      <c r="S26" s="23">
        <v>0.11875917545556058</v>
      </c>
      <c r="T26" s="23">
        <v>0.16885618267545688</v>
      </c>
      <c r="U26" s="23">
        <v>0.23258066827077117</v>
      </c>
      <c r="V26" s="23">
        <v>0.27626989285099479</v>
      </c>
      <c r="W26" s="23">
        <v>0.33036665467924631</v>
      </c>
    </row>
    <row r="27" spans="1:46">
      <c r="A27" s="44" t="s">
        <v>38</v>
      </c>
      <c r="B27" s="16" t="e">
        <f>B23/#REF!</f>
        <v>#REF!</v>
      </c>
      <c r="F27" s="16" t="s">
        <v>39</v>
      </c>
      <c r="S27" s="16" t="s">
        <v>40</v>
      </c>
      <c r="V27" s="16" t="e">
        <f>V23/#REF!</f>
        <v>#REF!</v>
      </c>
      <c r="W27" s="20">
        <f>V23/466</f>
        <v>16526.00875431766</v>
      </c>
    </row>
    <row r="28" spans="1:46">
      <c r="A28" s="44"/>
      <c r="C28" s="23" t="e">
        <f>V27/B27-1</f>
        <v>#REF!</v>
      </c>
      <c r="G28" s="23">
        <f>V33/G33-1</f>
        <v>0.19323999852240403</v>
      </c>
      <c r="N28" s="20"/>
      <c r="O28" s="20"/>
      <c r="S28" s="16" t="s">
        <v>41</v>
      </c>
      <c r="W28" s="20">
        <f>V23/1207</f>
        <v>6380.3811760663039</v>
      </c>
    </row>
    <row r="29" spans="1:46">
      <c r="E29" s="48">
        <f>B19/B23</f>
        <v>2.1557604712554575E-3</v>
      </c>
      <c r="F29" s="22"/>
      <c r="J29" s="23"/>
      <c r="N29" s="20"/>
      <c r="O29" s="20"/>
      <c r="P29" s="20"/>
    </row>
    <row r="30" spans="1:46">
      <c r="A30" s="51"/>
      <c r="E30" s="48">
        <f>B21/B23</f>
        <v>3.9502543029457009E-3</v>
      </c>
      <c r="F30" s="22"/>
      <c r="G30" s="23"/>
      <c r="N30" s="20"/>
      <c r="O30" s="20"/>
      <c r="P30" s="20"/>
      <c r="Q30" s="52" t="s">
        <v>42</v>
      </c>
      <c r="R30" s="53">
        <f>R23+R21</f>
        <v>7428472.9476974495</v>
      </c>
      <c r="S30" s="53">
        <f>S23+S21</f>
        <v>8313627.9554349976</v>
      </c>
      <c r="T30" s="53">
        <f>T23+T21</f>
        <v>8285322.9898130614</v>
      </c>
      <c r="U30" s="53">
        <f>U23+U21</f>
        <v>7449799.0096636275</v>
      </c>
      <c r="V30" s="53">
        <f>V23+V21</f>
        <v>7883979.079512029</v>
      </c>
    </row>
    <row r="31" spans="1:46">
      <c r="N31" s="20"/>
      <c r="O31" s="20"/>
      <c r="P31" s="20"/>
      <c r="W31" s="839" t="s">
        <v>27</v>
      </c>
      <c r="X31" s="839" t="s">
        <v>28</v>
      </c>
    </row>
    <row r="32" spans="1:46" ht="27" customHeight="1">
      <c r="B32" s="54">
        <v>1990</v>
      </c>
      <c r="C32" s="54">
        <v>1995</v>
      </c>
      <c r="D32" s="54">
        <v>1999</v>
      </c>
      <c r="E32" s="54">
        <v>2000</v>
      </c>
      <c r="F32" s="54">
        <v>2001</v>
      </c>
      <c r="G32" s="54">
        <v>2002</v>
      </c>
      <c r="H32" s="54">
        <v>2003</v>
      </c>
      <c r="I32" s="54">
        <v>2004</v>
      </c>
      <c r="J32" s="54">
        <v>2005</v>
      </c>
      <c r="K32" s="54">
        <v>2006</v>
      </c>
      <c r="L32" s="54">
        <v>2007</v>
      </c>
      <c r="M32" s="54">
        <v>2008</v>
      </c>
      <c r="N32" s="54">
        <v>2009</v>
      </c>
      <c r="O32" s="54">
        <v>2010</v>
      </c>
      <c r="P32" s="54">
        <v>2011</v>
      </c>
      <c r="Q32" s="54">
        <v>2012</v>
      </c>
      <c r="R32" s="54">
        <v>2013</v>
      </c>
      <c r="S32" s="54">
        <v>2014</v>
      </c>
      <c r="T32" s="54">
        <v>2015</v>
      </c>
      <c r="U32" s="54">
        <v>2016</v>
      </c>
      <c r="V32" s="54">
        <v>2017</v>
      </c>
      <c r="W32" s="840"/>
      <c r="X32" s="840"/>
    </row>
    <row r="33" spans="1:45">
      <c r="A33" s="27" t="s">
        <v>43</v>
      </c>
      <c r="B33" s="20">
        <v>583887</v>
      </c>
      <c r="C33" s="20">
        <v>626500</v>
      </c>
      <c r="D33" s="20">
        <v>646850</v>
      </c>
      <c r="E33" s="20">
        <v>660486</v>
      </c>
      <c r="F33" s="20">
        <v>669766</v>
      </c>
      <c r="G33" s="20">
        <v>676775</v>
      </c>
      <c r="H33" s="20">
        <v>679187</v>
      </c>
      <c r="I33" s="20">
        <v>672660</v>
      </c>
      <c r="J33" s="20">
        <v>675175</v>
      </c>
      <c r="K33" s="20">
        <v>684693</v>
      </c>
      <c r="L33" s="20">
        <v>699186</v>
      </c>
      <c r="M33" s="20">
        <v>714567</v>
      </c>
      <c r="N33" s="20">
        <v>726855</v>
      </c>
      <c r="O33" s="20">
        <v>735334</v>
      </c>
      <c r="P33" s="20">
        <v>747977</v>
      </c>
      <c r="Q33" s="20">
        <v>758817</v>
      </c>
      <c r="R33" s="20">
        <v>766082</v>
      </c>
      <c r="S33" s="20">
        <v>776712</v>
      </c>
      <c r="T33" s="20">
        <v>790294</v>
      </c>
      <c r="U33" s="20">
        <v>799766</v>
      </c>
      <c r="V33" s="20">
        <v>807555</v>
      </c>
      <c r="W33" s="48">
        <f>V33/U33-1</f>
        <v>9.7390986863656881E-3</v>
      </c>
      <c r="X33" s="23">
        <f>V33/B33-1</f>
        <v>0.3830672715782335</v>
      </c>
    </row>
    <row r="34" spans="1:45" ht="15.75">
      <c r="A34" s="16" t="s">
        <v>44</v>
      </c>
      <c r="B34" s="55">
        <v>375768</v>
      </c>
      <c r="C34" s="56">
        <v>415113</v>
      </c>
      <c r="D34" s="56">
        <v>444815</v>
      </c>
      <c r="E34" s="56">
        <v>453254</v>
      </c>
      <c r="F34" s="56">
        <v>444397</v>
      </c>
      <c r="G34" s="56">
        <v>428919</v>
      </c>
      <c r="H34" s="56">
        <v>419713</v>
      </c>
      <c r="I34" s="56">
        <v>420129</v>
      </c>
      <c r="J34" s="56">
        <v>428305</v>
      </c>
      <c r="K34" s="56">
        <v>439302</v>
      </c>
      <c r="L34" s="56">
        <v>447909</v>
      </c>
      <c r="M34" s="56">
        <v>449568</v>
      </c>
      <c r="N34" s="56">
        <v>423770</v>
      </c>
      <c r="O34" s="56">
        <v>421452</v>
      </c>
      <c r="P34" s="56">
        <v>430662</v>
      </c>
      <c r="Q34" s="55">
        <v>441648</v>
      </c>
      <c r="R34" s="55">
        <v>451880</v>
      </c>
      <c r="S34" s="55">
        <v>465483</v>
      </c>
      <c r="T34" s="55">
        <v>480109</v>
      </c>
      <c r="U34" s="55">
        <v>492062</v>
      </c>
      <c r="V34" s="55">
        <v>502929</v>
      </c>
      <c r="W34" s="48">
        <f>V34/U34-1</f>
        <v>2.2084615353349824E-2</v>
      </c>
      <c r="X34" s="23">
        <f>V34/B34-1</f>
        <v>0.33840295075685001</v>
      </c>
    </row>
    <row r="35" spans="1:45">
      <c r="A35" s="15" t="s">
        <v>45</v>
      </c>
      <c r="B35" s="23">
        <f t="shared" ref="B35:V35" si="6">B34/$B$34-1</f>
        <v>0</v>
      </c>
      <c r="C35" s="23">
        <f t="shared" si="6"/>
        <v>0.10470556300696177</v>
      </c>
      <c r="D35" s="23">
        <f t="shared" si="6"/>
        <v>0.18374901534989685</v>
      </c>
      <c r="E35" s="23">
        <f t="shared" si="6"/>
        <v>0.20620702135360114</v>
      </c>
      <c r="F35" s="23">
        <f t="shared" si="6"/>
        <v>0.18263662685486781</v>
      </c>
      <c r="G35" s="23">
        <f t="shared" si="6"/>
        <v>0.14144631794085716</v>
      </c>
      <c r="H35" s="23">
        <f t="shared" si="6"/>
        <v>0.11694715888526974</v>
      </c>
      <c r="I35" s="23">
        <f t="shared" si="6"/>
        <v>0.118054224947308</v>
      </c>
      <c r="J35" s="23">
        <f t="shared" si="6"/>
        <v>0.13981233101275259</v>
      </c>
      <c r="K35" s="23">
        <f t="shared" si="6"/>
        <v>0.16907772881139427</v>
      </c>
      <c r="L35" s="23">
        <f t="shared" si="6"/>
        <v>0.19198281918630644</v>
      </c>
      <c r="M35" s="23">
        <f t="shared" si="6"/>
        <v>0.19639777735198316</v>
      </c>
      <c r="N35" s="23">
        <f t="shared" si="6"/>
        <v>0.12774371420663821</v>
      </c>
      <c r="O35" s="23">
        <f t="shared" si="6"/>
        <v>0.12157501437056917</v>
      </c>
      <c r="P35" s="23">
        <f t="shared" si="6"/>
        <v>0.14608481829213771</v>
      </c>
      <c r="Q35" s="23">
        <f t="shared" si="6"/>
        <v>0.17532094270933118</v>
      </c>
      <c r="R35" s="23">
        <f t="shared" si="6"/>
        <v>0.20255050988908052</v>
      </c>
      <c r="S35" s="23">
        <f t="shared" si="6"/>
        <v>0.23875103787443308</v>
      </c>
      <c r="T35" s="23">
        <f t="shared" si="6"/>
        <v>0.27767399033446161</v>
      </c>
      <c r="U35" s="23">
        <f t="shared" si="6"/>
        <v>0.30948351110259531</v>
      </c>
      <c r="V35" s="23">
        <f t="shared" si="6"/>
        <v>0.33840295075685001</v>
      </c>
    </row>
    <row r="36" spans="1:45">
      <c r="A36" s="15"/>
    </row>
    <row r="37" spans="1:45">
      <c r="A37" s="25" t="s">
        <v>26</v>
      </c>
      <c r="B37" s="25">
        <v>1990</v>
      </c>
      <c r="C37" s="25">
        <v>1995</v>
      </c>
      <c r="D37" s="25">
        <v>1999</v>
      </c>
      <c r="E37" s="25">
        <v>2000</v>
      </c>
      <c r="F37" s="25">
        <v>2001</v>
      </c>
      <c r="G37" s="25">
        <v>2002</v>
      </c>
      <c r="H37" s="25">
        <v>2003</v>
      </c>
      <c r="I37" s="25">
        <v>2004</v>
      </c>
      <c r="J37" s="25">
        <v>2005</v>
      </c>
      <c r="K37" s="26">
        <v>2006</v>
      </c>
      <c r="L37" s="26">
        <v>2007</v>
      </c>
      <c r="M37" s="26">
        <v>2008</v>
      </c>
      <c r="N37" s="26">
        <v>2009</v>
      </c>
      <c r="O37" s="26">
        <v>2010</v>
      </c>
      <c r="P37" s="26">
        <v>2011</v>
      </c>
      <c r="Q37" s="26">
        <v>2012</v>
      </c>
      <c r="R37" s="26">
        <v>2013</v>
      </c>
      <c r="S37" s="26">
        <v>2014</v>
      </c>
      <c r="T37" s="26">
        <v>2015</v>
      </c>
      <c r="U37" s="26">
        <v>2016</v>
      </c>
      <c r="V37" s="26">
        <v>2017</v>
      </c>
      <c r="W37" s="839" t="s">
        <v>27</v>
      </c>
      <c r="X37" s="839" t="s">
        <v>28</v>
      </c>
    </row>
    <row r="38" spans="1:45">
      <c r="W38" s="840"/>
      <c r="X38" s="840"/>
    </row>
    <row r="39" spans="1:45">
      <c r="A39" s="44" t="s">
        <v>29</v>
      </c>
      <c r="B39" s="57">
        <f t="shared" ref="B39:V39" si="7">B9/B$33</f>
        <v>2.9548303010685286</v>
      </c>
      <c r="C39" s="57">
        <f t="shared" si="7"/>
        <v>2.8023112529928174</v>
      </c>
      <c r="D39" s="57">
        <f t="shared" si="7"/>
        <v>2.8592826775914046</v>
      </c>
      <c r="E39" s="57">
        <f t="shared" si="7"/>
        <v>3.0389940134991504</v>
      </c>
      <c r="F39" s="57">
        <f t="shared" si="7"/>
        <v>2.9827163516810349</v>
      </c>
      <c r="G39" s="57">
        <f t="shared" si="7"/>
        <v>2.8582010269291862</v>
      </c>
      <c r="H39" s="57">
        <f t="shared" si="7"/>
        <v>2.7040373269806399</v>
      </c>
      <c r="I39" s="57">
        <f t="shared" si="7"/>
        <v>2.5127508696815628</v>
      </c>
      <c r="J39" s="57">
        <f t="shared" si="7"/>
        <v>2.428023845669641</v>
      </c>
      <c r="K39" s="57">
        <f t="shared" si="7"/>
        <v>2.4466717200263477</v>
      </c>
      <c r="L39" s="57">
        <f t="shared" si="7"/>
        <v>2.3117396515376454</v>
      </c>
      <c r="M39" s="57">
        <f t="shared" si="7"/>
        <v>2.3146143048867356</v>
      </c>
      <c r="N39" s="57">
        <f t="shared" si="7"/>
        <v>2.2812582977347615</v>
      </c>
      <c r="O39" s="57">
        <f t="shared" si="7"/>
        <v>2.1123435064882079</v>
      </c>
      <c r="P39" s="57">
        <f t="shared" si="7"/>
        <v>2.1861581305307518</v>
      </c>
      <c r="Q39" s="57">
        <f t="shared" si="7"/>
        <v>1.7691287886275611</v>
      </c>
      <c r="R39" s="57">
        <f t="shared" si="7"/>
        <v>1.7849068376492334</v>
      </c>
      <c r="S39" s="57">
        <f t="shared" si="7"/>
        <v>2.0518956833420883</v>
      </c>
      <c r="T39" s="57">
        <f t="shared" si="7"/>
        <v>1.8192204420127194</v>
      </c>
      <c r="U39" s="57">
        <f t="shared" si="7"/>
        <v>1.487497593045966</v>
      </c>
      <c r="V39" s="57">
        <f t="shared" si="7"/>
        <v>1.7293571335698497</v>
      </c>
      <c r="W39" s="23">
        <f>V39/U39-1</f>
        <v>0.16259491218982425</v>
      </c>
      <c r="X39" s="23">
        <f>V39/B39-1</f>
        <v>-0.41473554912968169</v>
      </c>
    </row>
    <row r="40" spans="1:45">
      <c r="B40" s="58"/>
      <c r="C40" s="58"/>
      <c r="D40" s="58"/>
      <c r="E40" s="58"/>
      <c r="F40" s="58"/>
      <c r="G40" s="57"/>
      <c r="H40" s="57"/>
      <c r="I40" s="57"/>
      <c r="J40" s="57"/>
      <c r="K40" s="57"/>
      <c r="L40" s="57"/>
      <c r="M40" s="57"/>
      <c r="N40" s="57"/>
      <c r="O40" s="57"/>
      <c r="P40" s="57"/>
      <c r="Q40" s="57"/>
      <c r="R40" s="57"/>
      <c r="S40" s="57"/>
      <c r="T40" s="57"/>
      <c r="U40" s="57"/>
      <c r="V40" s="57"/>
      <c r="W40" s="23"/>
      <c r="X40" s="23"/>
    </row>
    <row r="41" spans="1:45">
      <c r="A41" s="44" t="s">
        <v>30</v>
      </c>
      <c r="B41" s="57">
        <f t="shared" ref="B41:V41" si="8">B11/B$33</f>
        <v>3.213971196481511</v>
      </c>
      <c r="C41" s="57">
        <f t="shared" si="8"/>
        <v>3.2596201117318437</v>
      </c>
      <c r="D41" s="57">
        <f t="shared" si="8"/>
        <v>3.2999026049315914</v>
      </c>
      <c r="E41" s="57">
        <f t="shared" si="8"/>
        <v>3.6236649981982962</v>
      </c>
      <c r="F41" s="57">
        <f t="shared" si="8"/>
        <v>3.5826930599642264</v>
      </c>
      <c r="G41" s="57">
        <f t="shared" si="8"/>
        <v>3.3768268626943962</v>
      </c>
      <c r="H41" s="57">
        <f t="shared" si="8"/>
        <v>3.2116324370166094</v>
      </c>
      <c r="I41" s="57">
        <f t="shared" si="8"/>
        <v>3.0253144233342253</v>
      </c>
      <c r="J41" s="57">
        <f t="shared" si="8"/>
        <v>2.9704698781797312</v>
      </c>
      <c r="K41" s="57">
        <f t="shared" si="8"/>
        <v>3.0190012166036455</v>
      </c>
      <c r="L41" s="57">
        <f t="shared" si="8"/>
        <v>2.8675788702863043</v>
      </c>
      <c r="M41" s="57">
        <f t="shared" si="8"/>
        <v>2.8337636638691683</v>
      </c>
      <c r="N41" s="57">
        <f t="shared" si="8"/>
        <v>2.6595290670078628</v>
      </c>
      <c r="O41" s="57">
        <f t="shared" si="8"/>
        <v>2.5727941316462997</v>
      </c>
      <c r="P41" s="57">
        <f t="shared" si="8"/>
        <v>2.5712622179558999</v>
      </c>
      <c r="Q41" s="57">
        <f t="shared" si="8"/>
        <v>2.075188088827741</v>
      </c>
      <c r="R41" s="57">
        <f t="shared" si="8"/>
        <v>2.0687602632616353</v>
      </c>
      <c r="S41" s="57">
        <f t="shared" si="8"/>
        <v>2.5876425238698513</v>
      </c>
      <c r="T41" s="57">
        <f t="shared" si="8"/>
        <v>2.5361561646678323</v>
      </c>
      <c r="U41" s="57">
        <f t="shared" si="8"/>
        <v>1.9746850953904016</v>
      </c>
      <c r="V41" s="57">
        <f t="shared" si="8"/>
        <v>2.0799772151741989</v>
      </c>
      <c r="W41" s="23">
        <f>V41/U41-1</f>
        <v>5.3320967494809857E-2</v>
      </c>
      <c r="X41" s="23">
        <f t="shared" ref="X41:X49" si="9">V41/B41-1</f>
        <v>-0.35283265218703574</v>
      </c>
    </row>
    <row r="42" spans="1:45" ht="15.75">
      <c r="B42" s="58"/>
      <c r="C42" s="58"/>
      <c r="D42" s="58"/>
      <c r="E42" s="58"/>
      <c r="F42" s="58"/>
      <c r="G42" s="57"/>
      <c r="H42" s="57"/>
      <c r="I42" s="57"/>
      <c r="J42" s="57"/>
      <c r="K42" s="57"/>
      <c r="L42" s="57"/>
      <c r="M42" s="57"/>
      <c r="N42" s="57"/>
      <c r="O42" s="57"/>
      <c r="P42" s="57"/>
      <c r="Q42" s="57"/>
      <c r="R42" s="57"/>
      <c r="S42" s="57"/>
      <c r="T42" s="57"/>
      <c r="U42" s="57"/>
      <c r="V42" s="57"/>
      <c r="W42" s="23"/>
      <c r="X42" s="23"/>
      <c r="AA42" s="32"/>
      <c r="AD42" s="29"/>
    </row>
    <row r="43" spans="1:45" ht="15.75">
      <c r="A43" s="44" t="s">
        <v>31</v>
      </c>
      <c r="B43" s="57">
        <f t="shared" ref="B43:V43" si="10">B13/B$33</f>
        <v>3.2394076251055428</v>
      </c>
      <c r="C43" s="57">
        <f t="shared" si="10"/>
        <v>3.3577557861133278</v>
      </c>
      <c r="D43" s="57">
        <f t="shared" si="10"/>
        <v>3.5777135348226019</v>
      </c>
      <c r="E43" s="57">
        <f t="shared" si="10"/>
        <v>3.4806445556756693</v>
      </c>
      <c r="F43" s="57">
        <f t="shared" si="10"/>
        <v>3.0445140541622</v>
      </c>
      <c r="G43" s="57">
        <f t="shared" si="10"/>
        <v>2.7377680913154299</v>
      </c>
      <c r="H43" s="57">
        <f t="shared" si="10"/>
        <v>2.4060310341629036</v>
      </c>
      <c r="I43" s="57">
        <f t="shared" si="10"/>
        <v>2.2949276008681951</v>
      </c>
      <c r="J43" s="57">
        <f t="shared" si="10"/>
        <v>2.1771200059243898</v>
      </c>
      <c r="K43" s="57">
        <f t="shared" si="10"/>
        <v>2.2291830061063864</v>
      </c>
      <c r="L43" s="57">
        <f t="shared" si="10"/>
        <v>2.0240479643471123</v>
      </c>
      <c r="M43" s="57">
        <f t="shared" si="10"/>
        <v>1.9884727394352104</v>
      </c>
      <c r="N43" s="57">
        <f t="shared" si="10"/>
        <v>1.7817694038013083</v>
      </c>
      <c r="O43" s="57">
        <f t="shared" si="10"/>
        <v>1.814918118841234</v>
      </c>
      <c r="P43" s="57">
        <f t="shared" si="10"/>
        <v>1.9150227881338597</v>
      </c>
      <c r="Q43" s="57">
        <f t="shared" si="10"/>
        <v>1.630560464512524</v>
      </c>
      <c r="R43" s="57">
        <f t="shared" si="10"/>
        <v>1.5570917995723694</v>
      </c>
      <c r="S43" s="57">
        <f t="shared" si="10"/>
        <v>1.7981298087321942</v>
      </c>
      <c r="T43" s="57">
        <f t="shared" si="10"/>
        <v>1.7604688887932844</v>
      </c>
      <c r="U43" s="57">
        <f t="shared" si="10"/>
        <v>1.4666827547057515</v>
      </c>
      <c r="V43" s="57">
        <f t="shared" si="10"/>
        <v>1.3607494226399441</v>
      </c>
      <c r="W43" s="23">
        <f>V43/U43-1</f>
        <v>-7.2226479602304883E-2</v>
      </c>
      <c r="X43" s="23">
        <f t="shared" si="9"/>
        <v>-0.57993880977062595</v>
      </c>
      <c r="AA43" s="32"/>
      <c r="AD43" s="29"/>
    </row>
    <row r="44" spans="1:45">
      <c r="B44" s="58"/>
      <c r="C44" s="58"/>
      <c r="D44" s="58"/>
      <c r="E44" s="58"/>
      <c r="F44" s="57"/>
      <c r="G44" s="57"/>
      <c r="H44" s="57"/>
      <c r="I44" s="57"/>
      <c r="J44" s="57"/>
      <c r="K44" s="57"/>
      <c r="L44" s="57"/>
      <c r="M44" s="57"/>
      <c r="N44" s="57"/>
      <c r="O44" s="57"/>
      <c r="P44" s="57"/>
      <c r="Q44" s="57"/>
      <c r="R44" s="57"/>
      <c r="S44" s="57"/>
      <c r="T44" s="57"/>
      <c r="U44" s="57"/>
      <c r="V44" s="57"/>
      <c r="W44" s="23"/>
      <c r="X44" s="23"/>
      <c r="AA44" s="20"/>
      <c r="AD44" s="29"/>
      <c r="AP44" s="23"/>
      <c r="AQ44" s="23"/>
      <c r="AR44" s="23"/>
      <c r="AS44" s="23"/>
    </row>
    <row r="45" spans="1:45" ht="15.75">
      <c r="A45" s="44" t="s">
        <v>32</v>
      </c>
      <c r="B45" s="57">
        <f t="shared" ref="B45:V45" si="11">B15/B$33</f>
        <v>5.1022012820973925</v>
      </c>
      <c r="C45" s="57">
        <f t="shared" si="11"/>
        <v>5.0366512370311254</v>
      </c>
      <c r="D45" s="57">
        <f t="shared" si="11"/>
        <v>4.8981293963051709</v>
      </c>
      <c r="E45" s="57">
        <f t="shared" si="11"/>
        <v>4.7239305602238355</v>
      </c>
      <c r="F45" s="57">
        <f t="shared" si="11"/>
        <v>4.6335361902515206</v>
      </c>
      <c r="G45" s="57">
        <f t="shared" si="11"/>
        <v>4.8753736470762066</v>
      </c>
      <c r="H45" s="57">
        <f t="shared" si="11"/>
        <v>4.7467104052344933</v>
      </c>
      <c r="I45" s="57">
        <f t="shared" si="11"/>
        <v>4.7627999286415124</v>
      </c>
      <c r="J45" s="57">
        <f t="shared" si="11"/>
        <v>4.6578101973562411</v>
      </c>
      <c r="K45" s="57">
        <f t="shared" si="11"/>
        <v>4.7280197110237729</v>
      </c>
      <c r="L45" s="57">
        <f t="shared" si="11"/>
        <v>4.6851924952730748</v>
      </c>
      <c r="M45" s="57">
        <f t="shared" si="11"/>
        <v>4.1222054754837547</v>
      </c>
      <c r="N45" s="57">
        <f t="shared" si="11"/>
        <v>4.0335981729505885</v>
      </c>
      <c r="O45" s="57">
        <f t="shared" si="11"/>
        <v>3.998841342845564</v>
      </c>
      <c r="P45" s="57">
        <f t="shared" si="11"/>
        <v>3.8430259219200589</v>
      </c>
      <c r="Q45" s="57">
        <f t="shared" si="11"/>
        <v>3.7093752512134017</v>
      </c>
      <c r="R45" s="57">
        <f t="shared" si="11"/>
        <v>3.68536788490005</v>
      </c>
      <c r="S45" s="57">
        <f t="shared" si="11"/>
        <v>3.6646079885465914</v>
      </c>
      <c r="T45" s="57">
        <f t="shared" si="11"/>
        <v>3.7312202800476784</v>
      </c>
      <c r="U45" s="57">
        <f t="shared" si="11"/>
        <v>3.7609725844809607</v>
      </c>
      <c r="V45" s="57">
        <f t="shared" si="11"/>
        <v>3.9823714793419644</v>
      </c>
      <c r="W45" s="23">
        <f>V45/U45-1</f>
        <v>5.8867457788597033E-2</v>
      </c>
      <c r="X45" s="23">
        <f t="shared" si="9"/>
        <v>-0.21947973841892277</v>
      </c>
      <c r="Z45" s="23"/>
      <c r="AA45" s="32"/>
      <c r="AD45" s="29"/>
      <c r="AP45" s="23"/>
      <c r="AQ45" s="23"/>
      <c r="AR45" s="23"/>
      <c r="AS45" s="23"/>
    </row>
    <row r="46" spans="1:45" ht="15.75">
      <c r="B46" s="57"/>
      <c r="C46" s="57"/>
      <c r="D46" s="57"/>
      <c r="E46" s="57"/>
      <c r="F46" s="57"/>
      <c r="G46" s="57"/>
      <c r="H46" s="57"/>
      <c r="I46" s="57"/>
      <c r="J46" s="57"/>
      <c r="K46" s="57"/>
      <c r="L46" s="57"/>
      <c r="M46" s="57"/>
      <c r="N46" s="57"/>
      <c r="O46" s="57"/>
      <c r="P46" s="57"/>
      <c r="Q46" s="57"/>
      <c r="R46" s="57"/>
      <c r="S46" s="57"/>
      <c r="T46" s="57"/>
      <c r="U46" s="57"/>
      <c r="V46" s="57"/>
      <c r="W46" s="23"/>
      <c r="X46" s="23"/>
      <c r="AA46" s="32"/>
      <c r="AD46" s="29"/>
    </row>
    <row r="47" spans="1:45" ht="15.75">
      <c r="A47" s="44" t="s">
        <v>33</v>
      </c>
      <c r="B47" s="57">
        <f t="shared" ref="B47:V47" si="12">B17/B$33</f>
        <v>0.87349435764111893</v>
      </c>
      <c r="C47" s="57">
        <f t="shared" si="12"/>
        <v>0.78215642458100554</v>
      </c>
      <c r="D47" s="57">
        <f t="shared" si="12"/>
        <v>0.66816418025817426</v>
      </c>
      <c r="E47" s="57">
        <f t="shared" si="12"/>
        <v>0.64078269637812157</v>
      </c>
      <c r="F47" s="57">
        <f t="shared" si="12"/>
        <v>0.59917792184135954</v>
      </c>
      <c r="G47" s="57">
        <f t="shared" si="12"/>
        <v>0.65918806102471283</v>
      </c>
      <c r="H47" s="57">
        <f t="shared" si="12"/>
        <v>0.73389361103790263</v>
      </c>
      <c r="I47" s="57">
        <f t="shared" si="12"/>
        <v>0.69903517378764901</v>
      </c>
      <c r="J47" s="57">
        <f t="shared" si="12"/>
        <v>0.70242529714518454</v>
      </c>
      <c r="K47" s="57">
        <f t="shared" si="12"/>
        <v>0.7339289287315629</v>
      </c>
      <c r="L47" s="57">
        <f t="shared" si="12"/>
        <v>0.66043799503994649</v>
      </c>
      <c r="M47" s="57">
        <f t="shared" si="12"/>
        <v>0.60150832602121285</v>
      </c>
      <c r="N47" s="57">
        <f t="shared" si="12"/>
        <v>0.49270762394150142</v>
      </c>
      <c r="O47" s="57">
        <f t="shared" si="12"/>
        <v>0.13359915358190971</v>
      </c>
      <c r="P47" s="57">
        <f t="shared" si="12"/>
        <v>0.13063102207688204</v>
      </c>
      <c r="Q47" s="57">
        <f t="shared" si="12"/>
        <v>0.12235492879047254</v>
      </c>
      <c r="R47" s="57">
        <f t="shared" si="12"/>
        <v>0.13935192316227243</v>
      </c>
      <c r="S47" s="57">
        <f t="shared" si="12"/>
        <v>0.13189058492723171</v>
      </c>
      <c r="T47" s="57">
        <f t="shared" si="12"/>
        <v>0.14828405631322014</v>
      </c>
      <c r="U47" s="57">
        <f t="shared" si="12"/>
        <v>0.14575638374224462</v>
      </c>
      <c r="V47" s="57">
        <f t="shared" si="12"/>
        <v>0.13609723176749572</v>
      </c>
      <c r="W47" s="23">
        <f>V47/U47-1</f>
        <v>-6.626915217538687E-2</v>
      </c>
      <c r="X47" s="23">
        <f t="shared" si="9"/>
        <v>-0.84419220275786577</v>
      </c>
      <c r="AA47" s="32"/>
      <c r="AD47" s="29"/>
    </row>
    <row r="48" spans="1:45">
      <c r="A48" s="44"/>
      <c r="B48" s="57"/>
      <c r="C48" s="57"/>
      <c r="D48" s="57"/>
      <c r="E48" s="57"/>
      <c r="F48" s="57"/>
      <c r="G48" s="57"/>
      <c r="H48" s="57"/>
      <c r="I48" s="57"/>
      <c r="J48" s="57"/>
      <c r="K48" s="57"/>
      <c r="L48" s="57"/>
      <c r="M48" s="57"/>
      <c r="N48" s="57"/>
      <c r="O48" s="57"/>
      <c r="P48" s="57"/>
      <c r="Q48" s="57"/>
      <c r="R48" s="57"/>
      <c r="S48" s="57"/>
      <c r="T48" s="57"/>
      <c r="U48" s="57"/>
      <c r="V48" s="57"/>
      <c r="W48" s="23"/>
      <c r="X48" s="23"/>
      <c r="AA48" s="20"/>
      <c r="AD48" s="29"/>
    </row>
    <row r="49" spans="1:46" ht="15.75">
      <c r="A49" s="44" t="s">
        <v>34</v>
      </c>
      <c r="B49" s="57">
        <f t="shared" ref="B49:V49" si="13">B19/B$33</f>
        <v>3.3367757802451499E-2</v>
      </c>
      <c r="C49" s="57">
        <f t="shared" si="13"/>
        <v>3.6287310454908218E-2</v>
      </c>
      <c r="D49" s="57">
        <f t="shared" si="13"/>
        <v>0</v>
      </c>
      <c r="E49" s="57">
        <f t="shared" si="13"/>
        <v>0</v>
      </c>
      <c r="F49" s="57">
        <f t="shared" si="13"/>
        <v>0</v>
      </c>
      <c r="G49" s="57">
        <f t="shared" si="13"/>
        <v>0</v>
      </c>
      <c r="H49" s="57">
        <f t="shared" si="13"/>
        <v>0</v>
      </c>
      <c r="I49" s="57">
        <f t="shared" si="13"/>
        <v>0</v>
      </c>
      <c r="J49" s="57">
        <f t="shared" si="13"/>
        <v>0</v>
      </c>
      <c r="K49" s="57">
        <f t="shared" si="13"/>
        <v>0</v>
      </c>
      <c r="L49" s="57">
        <f t="shared" si="13"/>
        <v>0</v>
      </c>
      <c r="M49" s="57">
        <f t="shared" si="13"/>
        <v>0</v>
      </c>
      <c r="N49" s="57">
        <f t="shared" si="13"/>
        <v>2.0269517304001484E-2</v>
      </c>
      <c r="O49" s="57">
        <f t="shared" si="13"/>
        <v>2.020170425956096E-2</v>
      </c>
      <c r="P49" s="57">
        <f t="shared" si="13"/>
        <v>1.999125641563845E-2</v>
      </c>
      <c r="Q49" s="57">
        <f t="shared" si="13"/>
        <v>2.271693965738775E-2</v>
      </c>
      <c r="R49" s="57">
        <f t="shared" si="13"/>
        <v>2.2544584000146198E-2</v>
      </c>
      <c r="S49" s="57">
        <f t="shared" si="13"/>
        <v>2.3576306275685195E-2</v>
      </c>
      <c r="T49" s="57">
        <f t="shared" si="13"/>
        <v>2.2652329386279032E-2</v>
      </c>
      <c r="U49" s="57">
        <f t="shared" si="13"/>
        <v>2.0949877839267987E-2</v>
      </c>
      <c r="V49" s="57">
        <f t="shared" si="13"/>
        <v>2.1353344354254507E-2</v>
      </c>
      <c r="W49" s="23">
        <f>V49/U49-1</f>
        <v>1.9258657166500104E-2</v>
      </c>
      <c r="X49" s="23">
        <f t="shared" si="9"/>
        <v>-0.3600605566405275</v>
      </c>
      <c r="AA49" s="32"/>
      <c r="AD49" s="29"/>
      <c r="AT49" s="23"/>
    </row>
    <row r="50" spans="1:46" ht="15.75">
      <c r="A50" s="44"/>
      <c r="B50" s="57"/>
      <c r="C50" s="57"/>
      <c r="D50" s="57"/>
      <c r="E50" s="57"/>
      <c r="F50" s="57"/>
      <c r="G50" s="57"/>
      <c r="H50" s="57"/>
      <c r="I50" s="57"/>
      <c r="J50" s="57"/>
      <c r="K50" s="57"/>
      <c r="L50" s="57"/>
      <c r="M50" s="57"/>
      <c r="N50" s="57"/>
      <c r="O50" s="57"/>
      <c r="P50" s="57"/>
      <c r="Q50" s="57"/>
      <c r="R50" s="57"/>
      <c r="S50" s="57"/>
      <c r="T50" s="57"/>
      <c r="U50" s="57"/>
      <c r="V50" s="57"/>
      <c r="W50" s="23"/>
      <c r="X50" s="23"/>
      <c r="AA50" s="32"/>
      <c r="AD50" s="29"/>
      <c r="AT50" s="23"/>
    </row>
    <row r="51" spans="1:46" ht="15.75">
      <c r="A51" s="44" t="s">
        <v>35</v>
      </c>
      <c r="B51" s="57">
        <f t="shared" ref="B51:V51" si="14">B21/B$33</f>
        <v>6.114368019839455E-2</v>
      </c>
      <c r="C51" s="57">
        <f t="shared" si="14"/>
        <v>0.12189944134078212</v>
      </c>
      <c r="D51" s="57">
        <f t="shared" si="14"/>
        <v>0.19362448790291412</v>
      </c>
      <c r="E51" s="57">
        <f t="shared" si="14"/>
        <v>0.20109131760552079</v>
      </c>
      <c r="F51" s="57">
        <f t="shared" si="14"/>
        <v>0.2074157242977398</v>
      </c>
      <c r="G51" s="57">
        <f t="shared" si="14"/>
        <v>0.21236452292120719</v>
      </c>
      <c r="H51" s="57">
        <f t="shared" si="14"/>
        <v>0.21463750042330021</v>
      </c>
      <c r="I51" s="57">
        <f t="shared" si="14"/>
        <v>0.22146998483632147</v>
      </c>
      <c r="J51" s="57">
        <f t="shared" si="14"/>
        <v>0.22664494390343246</v>
      </c>
      <c r="K51" s="57">
        <f t="shared" si="14"/>
        <v>0.23813738419992611</v>
      </c>
      <c r="L51" s="57">
        <f t="shared" si="14"/>
        <v>0.2490467486477132</v>
      </c>
      <c r="M51" s="57">
        <f t="shared" si="14"/>
        <v>0.26106719173989285</v>
      </c>
      <c r="N51" s="57">
        <f t="shared" si="14"/>
        <v>0.27306271539715626</v>
      </c>
      <c r="O51" s="57">
        <f t="shared" si="14"/>
        <v>0.25060176736013839</v>
      </c>
      <c r="P51" s="57">
        <f t="shared" si="14"/>
        <v>0.24579231714344157</v>
      </c>
      <c r="Q51" s="57">
        <f t="shared" si="14"/>
        <v>0.2519803852575786</v>
      </c>
      <c r="R51" s="57">
        <f t="shared" si="14"/>
        <v>0.21934205476698318</v>
      </c>
      <c r="S51" s="57">
        <f t="shared" si="14"/>
        <v>0.22293720194872746</v>
      </c>
      <c r="T51" s="57">
        <f t="shared" si="14"/>
        <v>0.23292344368045309</v>
      </c>
      <c r="U51" s="57">
        <f t="shared" si="14"/>
        <v>0.22921454525448695</v>
      </c>
      <c r="V51" s="57">
        <f t="shared" si="14"/>
        <v>0.22643535115255309</v>
      </c>
      <c r="W51" s="23">
        <f>V51/U51-1</f>
        <v>-1.2124859261650411E-2</v>
      </c>
      <c r="X51" s="23">
        <f>V51/B51-1</f>
        <v>2.7033320601218671</v>
      </c>
      <c r="AA51" s="32"/>
      <c r="AD51" s="29"/>
      <c r="AT51" s="23"/>
    </row>
    <row r="52" spans="1:46">
      <c r="A52" s="44"/>
      <c r="B52" s="57"/>
      <c r="C52" s="57"/>
      <c r="D52" s="57"/>
      <c r="E52" s="57"/>
      <c r="F52" s="57"/>
      <c r="G52" s="57"/>
      <c r="H52" s="57"/>
      <c r="I52" s="57"/>
      <c r="J52" s="57"/>
      <c r="K52" s="57"/>
      <c r="L52" s="57"/>
      <c r="M52" s="57"/>
      <c r="N52" s="57"/>
      <c r="O52" s="57"/>
      <c r="P52" s="57"/>
      <c r="Q52" s="57"/>
      <c r="R52" s="57"/>
      <c r="S52" s="57"/>
      <c r="T52" s="57"/>
      <c r="U52" s="57"/>
      <c r="V52" s="57"/>
      <c r="W52" s="23"/>
      <c r="X52" s="23"/>
      <c r="Y52" s="57"/>
      <c r="AA52" s="20"/>
      <c r="AD52" s="29"/>
      <c r="AT52" s="23"/>
    </row>
    <row r="53" spans="1:46">
      <c r="A53" s="47" t="s">
        <v>1</v>
      </c>
      <c r="B53" s="57">
        <f t="shared" ref="B53:V53" si="15">B23/B$33</f>
        <v>15.478416200394939</v>
      </c>
      <c r="C53" s="57">
        <f t="shared" si="15"/>
        <v>15.396681658733533</v>
      </c>
      <c r="D53" s="57">
        <f t="shared" si="15"/>
        <v>15.496816980017565</v>
      </c>
      <c r="E53" s="57">
        <f t="shared" si="15"/>
        <v>15.709108213229667</v>
      </c>
      <c r="F53" s="57">
        <f t="shared" si="15"/>
        <v>15.050053364482265</v>
      </c>
      <c r="G53" s="57">
        <f t="shared" si="15"/>
        <v>14.71972237088592</v>
      </c>
      <c r="H53" s="57">
        <f t="shared" si="15"/>
        <v>14.01694243583953</v>
      </c>
      <c r="I53" s="57">
        <f t="shared" si="15"/>
        <v>13.516298093247338</v>
      </c>
      <c r="J53" s="57">
        <f t="shared" si="15"/>
        <v>13.162494250572157</v>
      </c>
      <c r="K53" s="57">
        <f t="shared" si="15"/>
        <v>13.394942093241378</v>
      </c>
      <c r="L53" s="57">
        <f t="shared" si="15"/>
        <v>12.798043867579677</v>
      </c>
      <c r="M53" s="57">
        <f t="shared" si="15"/>
        <v>12.121631685691225</v>
      </c>
      <c r="N53" s="57">
        <f t="shared" si="15"/>
        <v>11.542194776308222</v>
      </c>
      <c r="O53" s="57">
        <f t="shared" si="15"/>
        <v>10.903299707391081</v>
      </c>
      <c r="P53" s="57">
        <f t="shared" si="15"/>
        <v>10.91188360722874</v>
      </c>
      <c r="Q53" s="57">
        <f t="shared" si="15"/>
        <v>9.5813047741749511</v>
      </c>
      <c r="R53" s="57">
        <f t="shared" si="15"/>
        <v>9.4773652790399066</v>
      </c>
      <c r="S53" s="57">
        <f t="shared" si="15"/>
        <v>10.480680040265886</v>
      </c>
      <c r="T53" s="57">
        <f t="shared" si="15"/>
        <v>10.250925592011406</v>
      </c>
      <c r="U53" s="57">
        <f t="shared" si="15"/>
        <v>9.0857588465421486</v>
      </c>
      <c r="V53" s="57">
        <f t="shared" si="15"/>
        <v>9.5363412764604618</v>
      </c>
      <c r="W53" s="23">
        <f>V53/U53-1</f>
        <v>4.959216258417376E-2</v>
      </c>
      <c r="X53" s="23">
        <f>V53/B53-1</f>
        <v>-0.38389424647871029</v>
      </c>
      <c r="AA53" s="20"/>
      <c r="AC53" s="23"/>
      <c r="AD53" s="59"/>
    </row>
    <row r="54" spans="1:46" s="23" customFormat="1" ht="25.5" customHeight="1">
      <c r="A54" s="23" t="s">
        <v>36</v>
      </c>
      <c r="B54" s="49">
        <f>B53/B53-1</f>
        <v>0</v>
      </c>
      <c r="C54" s="23">
        <f>C53/$B53-1</f>
        <v>-5.2805494181841217E-3</v>
      </c>
      <c r="D54" s="23">
        <f>D53/$B53-1</f>
        <v>1.1888024836905764E-3</v>
      </c>
      <c r="E54" s="23">
        <f>E53/$B53-1</f>
        <v>1.4904109687194023E-2</v>
      </c>
      <c r="F54" s="23">
        <f t="shared" ref="F54:Q54" si="16">F53/$B53-1</f>
        <v>-2.7674849310599603E-2</v>
      </c>
      <c r="G54" s="23">
        <f t="shared" si="16"/>
        <v>-4.9016244277606424E-2</v>
      </c>
      <c r="H54" s="23">
        <f t="shared" si="16"/>
        <v>-9.442011027705266E-2</v>
      </c>
      <c r="I54" s="23">
        <f t="shared" si="16"/>
        <v>-0.12676478534654834</v>
      </c>
      <c r="J54" s="23">
        <f t="shared" si="16"/>
        <v>-0.14962266938937141</v>
      </c>
      <c r="K54" s="23">
        <f t="shared" si="16"/>
        <v>-0.13460512239620492</v>
      </c>
      <c r="L54" s="23">
        <f t="shared" si="16"/>
        <v>-0.1731683848084451</v>
      </c>
      <c r="M54" s="23">
        <f t="shared" si="16"/>
        <v>-0.21686873328926659</v>
      </c>
      <c r="N54" s="23">
        <f t="shared" si="16"/>
        <v>-0.25430388827419459</v>
      </c>
      <c r="O54" s="23">
        <f t="shared" si="16"/>
        <v>-0.29558040265690244</v>
      </c>
      <c r="P54" s="23">
        <f t="shared" si="16"/>
        <v>-0.29502583042376662</v>
      </c>
      <c r="Q54" s="23">
        <f t="shared" si="16"/>
        <v>-0.38098933055369844</v>
      </c>
      <c r="R54" s="23">
        <f>R53/$B53-1</f>
        <v>-0.38770445526603126</v>
      </c>
      <c r="S54" s="23">
        <f>S53/$B53-1</f>
        <v>-0.32288420826941799</v>
      </c>
      <c r="T54" s="23">
        <f>T53/$B53-1</f>
        <v>-0.33772774557193719</v>
      </c>
      <c r="U54" s="23">
        <f>U53/$B53-1</f>
        <v>-0.41300461695103396</v>
      </c>
      <c r="V54" s="23">
        <f>V53/$B53-1</f>
        <v>-0.38389424647871029</v>
      </c>
      <c r="AA54" s="32"/>
      <c r="AC54" s="16"/>
      <c r="AD54" s="29"/>
      <c r="AP54" s="16"/>
      <c r="AQ54" s="16"/>
      <c r="AR54" s="16"/>
      <c r="AS54" s="16"/>
      <c r="AT54" s="16"/>
    </row>
    <row r="55" spans="1:46" s="23" customFormat="1">
      <c r="A55" s="23" t="s">
        <v>37</v>
      </c>
      <c r="B55" s="49"/>
      <c r="E55" s="23">
        <f>E53/$E53-1</f>
        <v>0</v>
      </c>
      <c r="F55" s="23">
        <f t="shared" ref="F55:Q55" si="17">F53/$E53-1</f>
        <v>-4.195367679702966E-2</v>
      </c>
      <c r="G55" s="23">
        <f>G53/$E53-1</f>
        <v>-6.2981668272583446E-2</v>
      </c>
      <c r="H55" s="23">
        <f t="shared" si="17"/>
        <v>-0.10771876763603006</v>
      </c>
      <c r="I55" s="23">
        <f>I53/$E53-1</f>
        <v>-0.13958845341300918</v>
      </c>
      <c r="J55" s="23">
        <f t="shared" si="17"/>
        <v>-0.16211066395944995</v>
      </c>
      <c r="K55" s="23">
        <f t="shared" si="17"/>
        <v>-0.14731365323713153</v>
      </c>
      <c r="L55" s="23">
        <f t="shared" si="17"/>
        <v>-0.18531060491380358</v>
      </c>
      <c r="M55" s="23">
        <f t="shared" si="17"/>
        <v>-0.22836920332098753</v>
      </c>
      <c r="N55" s="23">
        <f t="shared" si="17"/>
        <v>-0.26525461409784012</v>
      </c>
      <c r="O55" s="23">
        <f t="shared" si="17"/>
        <v>-0.30592497299059285</v>
      </c>
      <c r="P55" s="23">
        <f t="shared" si="17"/>
        <v>-0.30537854478339332</v>
      </c>
      <c r="Q55" s="23">
        <f t="shared" si="17"/>
        <v>-0.39007965034540226</v>
      </c>
      <c r="R55" s="23">
        <f>R53/$E53-1</f>
        <v>-0.39669616184460443</v>
      </c>
      <c r="S55" s="23">
        <f>S53/$E53-1</f>
        <v>-0.3328278156846981</v>
      </c>
      <c r="T55" s="23">
        <f>T53/$E53-1</f>
        <v>-0.34745337209031191</v>
      </c>
      <c r="U55" s="23">
        <f>U53/$E53-1</f>
        <v>-0.42162478460168495</v>
      </c>
      <c r="V55" s="23">
        <f>V53/$E53-1</f>
        <v>-0.3929419068849952</v>
      </c>
      <c r="Z55" s="16"/>
      <c r="AA55" s="20"/>
      <c r="AC55" s="16"/>
      <c r="AD55" s="29"/>
      <c r="AP55" s="16"/>
      <c r="AQ55" s="16"/>
      <c r="AR55" s="16"/>
      <c r="AS55" s="16"/>
      <c r="AT55" s="16"/>
    </row>
    <row r="56" spans="1:46">
      <c r="B56" s="41"/>
      <c r="C56" s="23"/>
      <c r="D56" s="23"/>
      <c r="E56" s="23"/>
      <c r="F56" s="23"/>
      <c r="G56" s="23"/>
      <c r="H56" s="23"/>
      <c r="I56" s="23"/>
      <c r="J56" s="23"/>
      <c r="K56" s="23"/>
      <c r="L56" s="23"/>
      <c r="M56" s="23"/>
      <c r="N56" s="23"/>
      <c r="O56" s="23"/>
      <c r="P56" s="23"/>
      <c r="Q56" s="23"/>
      <c r="R56" s="23"/>
      <c r="S56" s="23"/>
      <c r="T56" s="23"/>
      <c r="U56" s="23"/>
      <c r="V56" s="23"/>
      <c r="AA56" s="20"/>
      <c r="AC56" s="23"/>
      <c r="AD56" s="59"/>
    </row>
    <row r="57" spans="1:46" ht="15.75">
      <c r="B57" s="41"/>
      <c r="C57" s="23"/>
      <c r="D57" s="23"/>
      <c r="E57" s="23"/>
      <c r="F57" s="23"/>
      <c r="G57" s="23"/>
      <c r="H57" s="23"/>
      <c r="I57" s="23"/>
      <c r="J57" s="23"/>
      <c r="K57" s="23"/>
      <c r="L57" s="23"/>
      <c r="M57" s="23"/>
      <c r="N57" s="23"/>
      <c r="O57" s="23"/>
      <c r="P57" s="23"/>
      <c r="Q57" s="23"/>
      <c r="R57" s="23"/>
      <c r="S57" s="23"/>
      <c r="T57" s="23"/>
      <c r="U57" s="23"/>
      <c r="V57" s="23"/>
      <c r="AA57" s="32"/>
      <c r="AD57" s="29"/>
    </row>
    <row r="58" spans="1:46">
      <c r="B58" s="41"/>
      <c r="C58" s="23"/>
      <c r="D58" s="23"/>
      <c r="E58" s="23"/>
      <c r="F58" s="23"/>
      <c r="G58" s="23"/>
      <c r="H58" s="23"/>
      <c r="I58" s="23"/>
      <c r="J58" s="23"/>
      <c r="K58" s="23"/>
      <c r="L58" s="23"/>
      <c r="M58" s="23"/>
      <c r="N58" s="23"/>
      <c r="O58" s="23"/>
      <c r="P58" s="23"/>
      <c r="Q58" s="23"/>
      <c r="R58" s="23"/>
      <c r="S58" s="23"/>
      <c r="T58" s="23"/>
      <c r="U58" s="23"/>
      <c r="V58" s="23"/>
      <c r="AA58" s="20"/>
    </row>
    <row r="59" spans="1:46" ht="15.75">
      <c r="B59" s="41"/>
      <c r="C59" s="23"/>
      <c r="D59" s="23"/>
      <c r="E59" s="23"/>
      <c r="F59" s="23"/>
      <c r="G59" s="23"/>
      <c r="H59" s="23"/>
      <c r="I59" s="23"/>
      <c r="J59" s="23"/>
      <c r="K59" s="23"/>
      <c r="L59" s="23"/>
      <c r="M59" s="23"/>
      <c r="N59" s="23"/>
      <c r="O59" s="23"/>
      <c r="P59" s="23"/>
      <c r="Q59" s="23"/>
      <c r="R59" s="23"/>
      <c r="S59" s="23"/>
      <c r="T59" s="23"/>
      <c r="U59" s="23"/>
      <c r="V59" s="23"/>
      <c r="AA59" s="32"/>
    </row>
    <row r="60" spans="1:46" ht="15.75">
      <c r="B60" s="41"/>
      <c r="C60" s="23"/>
      <c r="D60" s="23"/>
      <c r="E60" s="23"/>
      <c r="F60" s="23"/>
      <c r="G60" s="23"/>
      <c r="H60" s="23"/>
      <c r="I60" s="23"/>
      <c r="J60" s="23"/>
      <c r="K60" s="23"/>
      <c r="L60" s="23"/>
      <c r="M60" s="23"/>
      <c r="N60" s="23"/>
      <c r="O60" s="23"/>
      <c r="P60" s="23"/>
      <c r="Q60" s="23"/>
      <c r="R60" s="23"/>
      <c r="S60" s="23"/>
      <c r="T60" s="23"/>
      <c r="U60" s="23"/>
      <c r="V60" s="23"/>
      <c r="AA60" s="32"/>
    </row>
    <row r="61" spans="1:46" ht="15.75">
      <c r="B61" s="41"/>
      <c r="C61" s="23"/>
      <c r="D61" s="23"/>
      <c r="E61" s="23"/>
      <c r="F61" s="23"/>
      <c r="G61" s="23"/>
      <c r="H61" s="23"/>
      <c r="I61" s="23"/>
      <c r="J61" s="23"/>
      <c r="K61" s="23"/>
      <c r="L61" s="23"/>
      <c r="M61" s="23"/>
      <c r="N61" s="23"/>
      <c r="O61" s="23"/>
      <c r="P61" s="23"/>
      <c r="Q61" s="23"/>
      <c r="R61" s="23"/>
      <c r="S61" s="23"/>
      <c r="T61" s="23"/>
      <c r="U61" s="23"/>
      <c r="V61" s="23"/>
      <c r="AA61" s="32"/>
    </row>
    <row r="62" spans="1:46">
      <c r="B62" s="41"/>
      <c r="C62" s="23"/>
      <c r="D62" s="23"/>
      <c r="E62" s="23"/>
      <c r="F62" s="23"/>
      <c r="G62" s="23"/>
      <c r="H62" s="23"/>
      <c r="I62" s="23"/>
      <c r="J62" s="23"/>
      <c r="K62" s="23"/>
      <c r="L62" s="23"/>
      <c r="M62" s="23"/>
      <c r="N62" s="23"/>
      <c r="O62" s="23"/>
      <c r="P62" s="23"/>
      <c r="Q62" s="23"/>
      <c r="R62" s="23"/>
      <c r="S62" s="23"/>
      <c r="T62" s="23"/>
      <c r="U62" s="23"/>
      <c r="V62" s="23"/>
      <c r="AA62" s="20"/>
    </row>
    <row r="63" spans="1:46" ht="15.75">
      <c r="B63" s="41"/>
      <c r="C63" s="23"/>
      <c r="D63" s="23"/>
      <c r="E63" s="23"/>
      <c r="F63" s="23"/>
      <c r="G63" s="23"/>
      <c r="H63" s="23"/>
      <c r="I63" s="23"/>
      <c r="J63" s="23"/>
      <c r="K63" s="23"/>
      <c r="L63" s="23"/>
      <c r="M63" s="23"/>
      <c r="N63" s="23"/>
      <c r="O63" s="23"/>
      <c r="P63" s="23"/>
      <c r="Q63" s="23"/>
      <c r="R63" s="23"/>
      <c r="S63" s="23"/>
      <c r="T63" s="23"/>
      <c r="U63" s="23"/>
      <c r="V63" s="23"/>
      <c r="AA63" s="32"/>
    </row>
    <row r="64" spans="1:46" ht="15.75">
      <c r="B64" s="41"/>
      <c r="C64" s="23"/>
      <c r="D64" s="23"/>
      <c r="E64" s="23"/>
      <c r="F64" s="23"/>
      <c r="G64" s="23"/>
      <c r="H64" s="23"/>
      <c r="I64" s="23"/>
      <c r="J64" s="23"/>
      <c r="K64" s="23"/>
      <c r="L64" s="23"/>
      <c r="M64" s="23"/>
      <c r="N64" s="23"/>
      <c r="O64" s="23"/>
      <c r="P64" s="23"/>
      <c r="Q64" s="23"/>
      <c r="R64" s="23"/>
      <c r="S64" s="23"/>
      <c r="T64" s="23"/>
      <c r="U64" s="23"/>
      <c r="V64" s="23"/>
      <c r="AA64" s="32"/>
    </row>
    <row r="65" spans="1:28">
      <c r="B65" s="41"/>
      <c r="C65" s="23"/>
      <c r="D65" s="23"/>
      <c r="E65" s="23"/>
      <c r="F65" s="23"/>
      <c r="G65" s="23"/>
      <c r="H65" s="23"/>
      <c r="I65" s="23"/>
      <c r="J65" s="23"/>
      <c r="K65" s="23"/>
      <c r="L65" s="23"/>
      <c r="M65" s="23"/>
      <c r="N65" s="23"/>
      <c r="O65" s="23"/>
      <c r="P65" s="23"/>
      <c r="Q65" s="23"/>
      <c r="R65" s="23"/>
      <c r="S65" s="23"/>
      <c r="T65" s="23"/>
      <c r="U65" s="23"/>
      <c r="V65" s="23"/>
      <c r="AA65" s="20"/>
      <c r="AB65" s="23"/>
    </row>
    <row r="66" spans="1:28" ht="15.75">
      <c r="B66" s="41"/>
      <c r="C66" s="23"/>
      <c r="D66" s="23"/>
      <c r="E66" s="23"/>
      <c r="F66" s="23"/>
      <c r="G66" s="23"/>
      <c r="H66" s="23"/>
      <c r="I66" s="23"/>
      <c r="J66" s="23"/>
      <c r="K66" s="23"/>
      <c r="L66" s="23"/>
      <c r="M66" s="23"/>
      <c r="N66" s="23"/>
      <c r="O66" s="23"/>
      <c r="P66" s="23"/>
      <c r="Q66" s="23"/>
      <c r="R66" s="23"/>
      <c r="S66" s="23"/>
      <c r="T66" s="23"/>
      <c r="U66" s="23"/>
      <c r="V66" s="23"/>
      <c r="AA66" s="32"/>
    </row>
    <row r="67" spans="1:28" ht="15.75">
      <c r="C67" s="838"/>
      <c r="D67" s="838"/>
      <c r="E67" s="838"/>
      <c r="F67" s="838"/>
      <c r="G67" s="838"/>
      <c r="H67" s="838"/>
      <c r="I67" s="838"/>
      <c r="AA67" s="32"/>
    </row>
    <row r="68" spans="1:28">
      <c r="A68" s="54"/>
      <c r="B68" s="60"/>
      <c r="C68" s="54"/>
      <c r="D68" s="54"/>
      <c r="E68" s="60"/>
      <c r="F68" s="54"/>
      <c r="G68" s="60"/>
      <c r="H68" s="54"/>
      <c r="J68" s="15"/>
      <c r="K68" s="15"/>
      <c r="L68" s="15"/>
      <c r="AA68" s="29"/>
    </row>
    <row r="69" spans="1:28">
      <c r="B69" s="20"/>
      <c r="C69" s="61"/>
      <c r="D69" s="61"/>
      <c r="E69" s="20"/>
      <c r="F69" s="61"/>
      <c r="G69" s="23"/>
      <c r="H69" s="23"/>
      <c r="P69" s="24"/>
      <c r="Q69" s="24"/>
      <c r="R69" s="24"/>
      <c r="S69" s="24"/>
      <c r="T69" s="24"/>
      <c r="U69" s="24"/>
      <c r="V69" s="24"/>
      <c r="W69" s="23"/>
    </row>
    <row r="70" spans="1:28">
      <c r="B70" s="20"/>
      <c r="C70" s="61"/>
      <c r="D70" s="61"/>
      <c r="E70" s="20"/>
      <c r="F70" s="61"/>
      <c r="G70" s="23"/>
      <c r="H70" s="23"/>
    </row>
    <row r="71" spans="1:28">
      <c r="B71" s="20"/>
      <c r="C71" s="61"/>
      <c r="D71" s="61"/>
      <c r="E71" s="20"/>
      <c r="F71" s="61"/>
      <c r="G71" s="23"/>
      <c r="H71" s="23"/>
    </row>
    <row r="72" spans="1:28">
      <c r="B72" s="20"/>
      <c r="C72" s="61"/>
      <c r="D72" s="61"/>
      <c r="E72" s="20"/>
      <c r="F72" s="61"/>
      <c r="G72" s="23"/>
      <c r="H72" s="23"/>
    </row>
    <row r="73" spans="1:28">
      <c r="B73" s="20"/>
      <c r="C73" s="61"/>
      <c r="D73" s="61"/>
      <c r="E73" s="20"/>
      <c r="F73" s="61"/>
      <c r="G73" s="23"/>
      <c r="H73" s="23"/>
    </row>
    <row r="74" spans="1:28">
      <c r="B74" s="20"/>
      <c r="C74" s="61"/>
      <c r="D74" s="61"/>
      <c r="E74" s="20"/>
      <c r="F74" s="61"/>
      <c r="G74" s="23"/>
      <c r="H74" s="23"/>
    </row>
    <row r="75" spans="1:28">
      <c r="B75" s="20"/>
      <c r="C75" s="61"/>
      <c r="D75" s="61"/>
      <c r="E75" s="20"/>
      <c r="F75" s="61"/>
      <c r="G75" s="23"/>
      <c r="H75" s="23"/>
    </row>
    <row r="76" spans="1:28">
      <c r="B76" s="20"/>
      <c r="C76" s="61"/>
      <c r="D76" s="61"/>
      <c r="E76" s="20"/>
      <c r="F76" s="61"/>
      <c r="G76" s="23"/>
      <c r="H76" s="23"/>
    </row>
    <row r="77" spans="1:28">
      <c r="B77" s="20"/>
      <c r="C77" s="61"/>
      <c r="D77" s="61"/>
      <c r="E77" s="20"/>
      <c r="F77" s="61"/>
      <c r="G77" s="23"/>
      <c r="H77" s="23"/>
    </row>
    <row r="78" spans="1:28">
      <c r="B78" s="20"/>
      <c r="C78" s="61"/>
      <c r="D78" s="61"/>
      <c r="E78" s="20"/>
      <c r="F78" s="61"/>
      <c r="G78" s="23"/>
      <c r="H78" s="23"/>
    </row>
    <row r="79" spans="1:28">
      <c r="B79" s="62"/>
      <c r="C79" s="63"/>
      <c r="D79" s="63"/>
      <c r="E79" s="62"/>
      <c r="F79" s="63"/>
      <c r="G79" s="23"/>
      <c r="H79" s="23"/>
    </row>
    <row r="80" spans="1:28">
      <c r="B80" s="29"/>
      <c r="C80" s="61"/>
      <c r="D80" s="61"/>
      <c r="E80" s="29"/>
      <c r="F80" s="61"/>
    </row>
    <row r="81" spans="1:7">
      <c r="B81" s="29"/>
      <c r="C81" s="61"/>
      <c r="D81" s="61"/>
      <c r="E81" s="29"/>
      <c r="F81" s="61"/>
    </row>
    <row r="82" spans="1:7">
      <c r="C82" s="29"/>
      <c r="D82" s="29"/>
      <c r="E82" s="61"/>
      <c r="F82" s="29"/>
      <c r="G82" s="61"/>
    </row>
    <row r="83" spans="1:7">
      <c r="B83" s="64"/>
      <c r="C83" s="64"/>
      <c r="D83" s="64"/>
      <c r="E83" s="64"/>
    </row>
    <row r="84" spans="1:7">
      <c r="B84" s="64"/>
      <c r="C84" s="64"/>
      <c r="D84" s="64"/>
      <c r="E84" s="65"/>
    </row>
    <row r="85" spans="1:7">
      <c r="B85" s="64"/>
      <c r="C85" s="64"/>
      <c r="D85" s="64"/>
      <c r="E85" s="64"/>
    </row>
    <row r="86" spans="1:7">
      <c r="B86" s="64"/>
      <c r="C86" s="64"/>
      <c r="D86" s="64"/>
      <c r="E86" s="64"/>
    </row>
    <row r="87" spans="1:7">
      <c r="B87" s="64"/>
      <c r="C87" s="64"/>
      <c r="D87" s="64"/>
      <c r="E87" s="64"/>
    </row>
    <row r="88" spans="1:7">
      <c r="B88" s="64"/>
      <c r="C88" s="64"/>
      <c r="D88" s="64"/>
      <c r="E88" s="64"/>
    </row>
    <row r="89" spans="1:7">
      <c r="B89" s="64"/>
      <c r="C89" s="64"/>
      <c r="D89" s="64"/>
      <c r="E89" s="64"/>
    </row>
    <row r="90" spans="1:7">
      <c r="B90" s="64"/>
      <c r="C90" s="64"/>
      <c r="D90" s="64"/>
      <c r="E90" s="64"/>
    </row>
    <row r="91" spans="1:7">
      <c r="B91" s="64"/>
      <c r="C91" s="64"/>
      <c r="D91" s="64"/>
      <c r="E91" s="64"/>
    </row>
    <row r="92" spans="1:7">
      <c r="B92" s="64"/>
      <c r="C92" s="64"/>
      <c r="D92" s="64"/>
      <c r="E92" s="64"/>
    </row>
    <row r="93" spans="1:7">
      <c r="B93" s="64"/>
      <c r="C93" s="64"/>
      <c r="D93" s="64"/>
      <c r="E93" s="64"/>
    </row>
    <row r="94" spans="1:7">
      <c r="B94" s="66"/>
      <c r="C94" s="66"/>
      <c r="D94" s="66"/>
      <c r="E94" s="67"/>
    </row>
    <row r="95" spans="1:7">
      <c r="A95" s="66"/>
    </row>
    <row r="98" spans="2:8">
      <c r="B98" s="66"/>
      <c r="C98" s="66"/>
      <c r="D98" s="66"/>
    </row>
    <row r="99" spans="2:8">
      <c r="B99" s="66"/>
      <c r="C99" s="66"/>
      <c r="D99" s="66"/>
    </row>
    <row r="100" spans="2:8">
      <c r="B100" s="66"/>
      <c r="C100" s="66"/>
      <c r="D100" s="66"/>
    </row>
    <row r="101" spans="2:8">
      <c r="B101" s="66"/>
      <c r="C101" s="66"/>
      <c r="D101" s="66"/>
    </row>
    <row r="102" spans="2:8">
      <c r="B102" s="66"/>
      <c r="C102" s="66"/>
      <c r="D102" s="66"/>
    </row>
    <row r="103" spans="2:8">
      <c r="B103" s="66"/>
      <c r="C103" s="66"/>
      <c r="D103" s="66"/>
    </row>
    <row r="105" spans="2:8">
      <c r="B105" s="20"/>
      <c r="C105" s="61"/>
      <c r="D105" s="61"/>
      <c r="E105" s="20"/>
      <c r="F105" s="61"/>
      <c r="G105" s="23"/>
      <c r="H105" s="23"/>
    </row>
    <row r="106" spans="2:8">
      <c r="B106" s="23"/>
      <c r="C106" s="61"/>
      <c r="D106" s="61"/>
      <c r="E106" s="20"/>
      <c r="F106" s="61"/>
      <c r="G106" s="23"/>
      <c r="H106" s="23"/>
    </row>
    <row r="107" spans="2:8">
      <c r="B107" s="23"/>
      <c r="C107" s="61"/>
      <c r="D107" s="61"/>
      <c r="E107" s="20"/>
      <c r="F107" s="61"/>
      <c r="G107" s="23"/>
      <c r="H107" s="23"/>
    </row>
    <row r="108" spans="2:8">
      <c r="B108" s="23"/>
      <c r="C108" s="61"/>
      <c r="D108" s="61"/>
      <c r="E108" s="20"/>
      <c r="F108" s="61"/>
      <c r="G108" s="23"/>
      <c r="H108" s="23"/>
    </row>
    <row r="109" spans="2:8">
      <c r="B109" s="23"/>
      <c r="C109" s="61"/>
      <c r="D109" s="61"/>
      <c r="E109" s="20"/>
      <c r="F109" s="61"/>
      <c r="G109" s="23"/>
      <c r="H109" s="23"/>
    </row>
    <row r="110" spans="2:8">
      <c r="B110" s="23"/>
      <c r="C110" s="61"/>
      <c r="D110" s="61"/>
      <c r="E110" s="20"/>
      <c r="F110" s="61"/>
      <c r="G110" s="23"/>
      <c r="H110" s="23"/>
    </row>
    <row r="111" spans="2:8">
      <c r="B111" s="23"/>
      <c r="C111" s="61"/>
      <c r="D111" s="61"/>
      <c r="E111" s="20"/>
      <c r="F111" s="61"/>
      <c r="G111" s="23"/>
      <c r="H111" s="23"/>
    </row>
    <row r="112" spans="2:8">
      <c r="B112" s="23"/>
      <c r="C112" s="61"/>
      <c r="D112" s="61"/>
      <c r="E112" s="20"/>
      <c r="F112" s="61"/>
      <c r="G112" s="23"/>
      <c r="H112" s="23"/>
    </row>
    <row r="113" spans="2:8">
      <c r="B113" s="23"/>
      <c r="C113" s="61"/>
      <c r="D113" s="61"/>
      <c r="E113" s="20"/>
      <c r="F113" s="61"/>
      <c r="G113" s="23"/>
      <c r="H113" s="23"/>
    </row>
    <row r="114" spans="2:8">
      <c r="B114" s="23"/>
      <c r="C114" s="61"/>
      <c r="D114" s="61"/>
      <c r="E114" s="20"/>
      <c r="F114" s="61"/>
      <c r="G114" s="23"/>
      <c r="H114" s="23"/>
    </row>
    <row r="115" spans="2:8">
      <c r="B115" s="23"/>
      <c r="C115" s="68"/>
      <c r="D115" s="68"/>
      <c r="E115" s="69"/>
      <c r="F115" s="68"/>
      <c r="G115" s="70"/>
      <c r="H115" s="70"/>
    </row>
    <row r="116" spans="2:8">
      <c r="B116" s="23"/>
    </row>
  </sheetData>
  <sheetProtection algorithmName="SHA-512" hashValue="IXHub0kSPdMEHb14w63UIoUSlxKTgvcLT1+CQzY+wtEB74vkipyeWbWPA038KfKItbUzymCAPnajzNzjTOdAIw==" saltValue="ZK70Zn6CzjcaZm5qB9YUZA==" spinCount="100000" sheet="1" objects="1" scenarios="1"/>
  <mergeCells count="7">
    <mergeCell ref="C67:I67"/>
    <mergeCell ref="W7:W8"/>
    <mergeCell ref="X7:X8"/>
    <mergeCell ref="W31:W32"/>
    <mergeCell ref="X31:X32"/>
    <mergeCell ref="W37:W38"/>
    <mergeCell ref="X37:X38"/>
  </mergeCells>
  <pageMargins left="0.75" right="0.75" top="1" bottom="1" header="0.5" footer="0.5"/>
  <pageSetup paperSize="5" scale="51"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F823-ACFE-F348-9A20-DD7E09BF9E35}">
  <sheetPr>
    <tabColor theme="0" tint="-0.34998626667073579"/>
  </sheetPr>
  <dimension ref="A1:S40"/>
  <sheetViews>
    <sheetView zoomScale="130" zoomScaleNormal="130" workbookViewId="0">
      <selection activeCell="U16" sqref="U16"/>
    </sheetView>
  </sheetViews>
  <sheetFormatPr defaultColWidth="11" defaultRowHeight="15.75" outlineLevelCol="1"/>
  <cols>
    <col min="1" max="1" width="64.5" bestFit="1" customWidth="1"/>
    <col min="2" max="3" width="12.5" customWidth="1"/>
    <col min="4" max="4" width="12.625" customWidth="1"/>
    <col min="5" max="14" width="33.5" hidden="1" customWidth="1" outlineLevel="1"/>
    <col min="15" max="15" width="18.875" hidden="1" customWidth="1" outlineLevel="1"/>
    <col min="16" max="16" width="11.625" customWidth="1" collapsed="1"/>
    <col min="17" max="17" width="13.875" customWidth="1"/>
    <col min="18" max="18" width="17.5" customWidth="1"/>
  </cols>
  <sheetData>
    <row r="1" spans="1:18" s="137" customFormat="1" ht="31.5">
      <c r="B1" s="137">
        <v>1990</v>
      </c>
      <c r="C1" s="137">
        <v>2000</v>
      </c>
      <c r="D1" s="137">
        <v>2005</v>
      </c>
      <c r="E1" s="137">
        <v>2006</v>
      </c>
      <c r="F1" s="137">
        <v>2007</v>
      </c>
      <c r="G1" s="137">
        <v>2008</v>
      </c>
      <c r="H1" s="137">
        <v>2009</v>
      </c>
      <c r="I1" s="137">
        <v>2010</v>
      </c>
      <c r="J1" s="137">
        <v>2011</v>
      </c>
      <c r="K1" s="137">
        <v>2012</v>
      </c>
      <c r="L1" s="137">
        <v>2013</v>
      </c>
      <c r="M1" s="137">
        <v>2014</v>
      </c>
      <c r="N1" s="137">
        <v>2015</v>
      </c>
      <c r="O1" s="137">
        <v>2016</v>
      </c>
      <c r="P1" s="137">
        <v>2017</v>
      </c>
      <c r="Q1" s="137" t="s">
        <v>123</v>
      </c>
      <c r="R1" s="137" t="s">
        <v>125</v>
      </c>
    </row>
    <row r="2" spans="1:18">
      <c r="A2" s="5" t="s">
        <v>4</v>
      </c>
    </row>
    <row r="3" spans="1:18">
      <c r="A3" t="s">
        <v>160</v>
      </c>
      <c r="B3" s="2">
        <v>1194480.8005571801</v>
      </c>
      <c r="C3" s="2">
        <v>1351676.2</v>
      </c>
      <c r="D3" s="2">
        <v>1044762.69834592</v>
      </c>
      <c r="E3" s="2">
        <v>1067425.7176014599</v>
      </c>
      <c r="F3" s="2">
        <v>996545.81060485705</v>
      </c>
      <c r="G3" s="2">
        <v>1000628.6867223301</v>
      </c>
      <c r="H3" s="2">
        <v>979748.46486167598</v>
      </c>
      <c r="I3" s="2">
        <v>957545.13344612997</v>
      </c>
      <c r="J3" s="2">
        <v>976380.530968618</v>
      </c>
      <c r="K3" s="2">
        <v>745737.56650565297</v>
      </c>
      <c r="L3" s="2">
        <v>738904.20009130996</v>
      </c>
      <c r="M3" s="2">
        <v>991710.40904185304</v>
      </c>
      <c r="N3" s="2">
        <v>917532.37310743704</v>
      </c>
      <c r="O3" s="2">
        <v>630589.28478680097</v>
      </c>
      <c r="P3" s="2">
        <v>693002.05397257302</v>
      </c>
      <c r="Q3" s="2">
        <f>SUM(D3:P3)</f>
        <v>11740512.93005662</v>
      </c>
    </row>
    <row r="4" spans="1:18">
      <c r="A4" t="s">
        <v>161</v>
      </c>
      <c r="B4" s="2">
        <v>1338950.36626515</v>
      </c>
      <c r="C4" s="2">
        <v>1859826.5989999999</v>
      </c>
      <c r="D4" s="2">
        <v>1543189.50945023</v>
      </c>
      <c r="E4" s="2">
        <v>1584870.3582377301</v>
      </c>
      <c r="F4" s="2">
        <v>1513010.5081338999</v>
      </c>
      <c r="G4" s="2">
        <v>1504718.25096308</v>
      </c>
      <c r="H4" s="2">
        <v>1400019.1540341701</v>
      </c>
      <c r="I4" s="2">
        <v>1400727.1360420301</v>
      </c>
      <c r="J4" s="2">
        <v>1410871.1089897901</v>
      </c>
      <c r="K4" s="2">
        <v>1109738.4135157899</v>
      </c>
      <c r="L4" s="2">
        <v>1110586.64994008</v>
      </c>
      <c r="M4" s="2">
        <v>1534919.7314774201</v>
      </c>
      <c r="N4" s="2">
        <v>1510531.7513556301</v>
      </c>
      <c r="O4" s="2">
        <v>1060517.7563409701</v>
      </c>
      <c r="P4" s="2">
        <v>1050065.0409290399</v>
      </c>
      <c r="Q4" s="2">
        <f t="shared" ref="Q4:Q5" si="0">SUM(D4:P4)</f>
        <v>17733765.369409859</v>
      </c>
    </row>
    <row r="5" spans="1:18">
      <c r="A5" t="s">
        <v>163</v>
      </c>
      <c r="B5" s="2">
        <v>902822.125125363</v>
      </c>
      <c r="C5" s="2">
        <v>1326784.0349999999</v>
      </c>
      <c r="D5" s="2">
        <v>788016.90388817596</v>
      </c>
      <c r="E5" s="2">
        <v>803977.33926544897</v>
      </c>
      <c r="F5" s="2">
        <v>742245.80941464403</v>
      </c>
      <c r="G5" s="2">
        <v>730820.51157436101</v>
      </c>
      <c r="H5" s="2">
        <v>652677.03481604299</v>
      </c>
      <c r="I5" s="2">
        <v>684274.10795399698</v>
      </c>
      <c r="J5" s="2">
        <v>693723.09601826197</v>
      </c>
      <c r="K5" s="2">
        <v>529896.74661326595</v>
      </c>
      <c r="L5" s="2">
        <v>506100.62493195198</v>
      </c>
      <c r="M5" s="2">
        <v>701513.89239191997</v>
      </c>
      <c r="N5" s="2">
        <v>697171.077628233</v>
      </c>
      <c r="O5" s="2">
        <v>448454.01795395702</v>
      </c>
      <c r="P5" s="2">
        <v>405489.25684148603</v>
      </c>
      <c r="Q5" s="2">
        <f t="shared" si="0"/>
        <v>8384360.4192917468</v>
      </c>
    </row>
    <row r="6" spans="1:18" s="120" customFormat="1">
      <c r="A6" s="120" t="s">
        <v>162</v>
      </c>
      <c r="B6" s="122">
        <f>SUM(B3:B5)</f>
        <v>3436253.2919476931</v>
      </c>
      <c r="C6" s="122">
        <f>SUM(C3:C5)</f>
        <v>4538286.8339999998</v>
      </c>
      <c r="D6" s="122">
        <f>SUM(D3:D5)</f>
        <v>3375969.1116843261</v>
      </c>
      <c r="E6" s="122">
        <f t="shared" ref="E6:O6" si="1">SUM(E3:E5)</f>
        <v>3456273.4151046388</v>
      </c>
      <c r="F6" s="122">
        <f t="shared" si="1"/>
        <v>3251802.1281534005</v>
      </c>
      <c r="G6" s="122">
        <f t="shared" si="1"/>
        <v>3236167.449259771</v>
      </c>
      <c r="H6" s="122">
        <f t="shared" si="1"/>
        <v>3032444.6537118889</v>
      </c>
      <c r="I6" s="122">
        <f t="shared" si="1"/>
        <v>3042546.3774421569</v>
      </c>
      <c r="J6" s="122">
        <f t="shared" si="1"/>
        <v>3080974.7359766699</v>
      </c>
      <c r="K6" s="122">
        <f t="shared" si="1"/>
        <v>2385372.7266347087</v>
      </c>
      <c r="L6" s="122">
        <f t="shared" si="1"/>
        <v>2355591.4749633418</v>
      </c>
      <c r="M6" s="122">
        <f t="shared" si="1"/>
        <v>3228144.0329111931</v>
      </c>
      <c r="N6" s="122">
        <f t="shared" si="1"/>
        <v>3125235.2020913004</v>
      </c>
      <c r="O6" s="122">
        <f t="shared" si="1"/>
        <v>2139561.0590817281</v>
      </c>
      <c r="P6" s="122">
        <f>SUM(P3:P5)</f>
        <v>2148556.3517430988</v>
      </c>
      <c r="Q6" s="122">
        <f>SUM(D6:P6)</f>
        <v>37858638.718758218</v>
      </c>
    </row>
    <row r="7" spans="1:18">
      <c r="A7" t="s">
        <v>164</v>
      </c>
      <c r="B7" s="181">
        <f>B3*R7</f>
        <v>1645879.7311865096</v>
      </c>
      <c r="C7" s="181">
        <f>C3*R7</f>
        <v>1862479.8821960688</v>
      </c>
      <c r="D7" s="2">
        <v>1528545.5598051299</v>
      </c>
      <c r="E7" s="2">
        <v>1528550.637774223</v>
      </c>
      <c r="F7" s="2">
        <v>1481951.100797557</v>
      </c>
      <c r="G7" s="2">
        <v>1455607.4481613608</v>
      </c>
      <c r="H7" s="2">
        <v>1468935.7508615581</v>
      </c>
      <c r="I7" s="2">
        <v>1360767.3313898048</v>
      </c>
      <c r="J7" s="2">
        <v>1171792.2677946761</v>
      </c>
      <c r="K7" s="2">
        <v>1057666.224567136</v>
      </c>
      <c r="L7" s="2">
        <v>1047412.580785169</v>
      </c>
      <c r="M7" s="2">
        <v>1074085.3232962149</v>
      </c>
      <c r="N7" s="2">
        <v>1047662.940997088</v>
      </c>
      <c r="O7" s="2">
        <v>909563.71963181905</v>
      </c>
      <c r="P7" s="2">
        <v>1044757.44852728</v>
      </c>
      <c r="Q7" s="2">
        <f t="shared" ref="Q7:Q9" si="2">SUM(D7:P7)</f>
        <v>16177298.334389018</v>
      </c>
      <c r="R7" s="123">
        <f>Q7/Q3</f>
        <v>1.3779038812668809</v>
      </c>
    </row>
    <row r="8" spans="1:18">
      <c r="A8" t="s">
        <v>165</v>
      </c>
      <c r="B8" s="181">
        <f>B4*R8</f>
        <v>1955347.6517932748</v>
      </c>
      <c r="C8" s="181">
        <f>C4*R8</f>
        <v>2716013.7259166869</v>
      </c>
      <c r="D8" s="2">
        <v>2358084.5884736627</v>
      </c>
      <c r="E8" s="2">
        <v>2367450.5474490379</v>
      </c>
      <c r="F8" s="2">
        <v>2367457.8247921648</v>
      </c>
      <c r="G8" s="2">
        <v>2301675.3954489231</v>
      </c>
      <c r="H8" s="2">
        <v>2198505.7347026248</v>
      </c>
      <c r="I8" s="2">
        <v>2077734.260570847</v>
      </c>
      <c r="J8" s="2">
        <v>1804402.7796724192</v>
      </c>
      <c r="K8" s="2">
        <v>1715480.45301095</v>
      </c>
      <c r="L8" s="2">
        <v>1731025.8233351321</v>
      </c>
      <c r="M8" s="2">
        <v>1809298.4653616948</v>
      </c>
      <c r="N8" s="2">
        <v>1848976.9867822099</v>
      </c>
      <c r="O8" s="2">
        <v>1633391.3800557009</v>
      </c>
      <c r="P8" s="2">
        <v>1684172.1232554819</v>
      </c>
      <c r="Q8" s="2">
        <f t="shared" si="2"/>
        <v>25897656.362910844</v>
      </c>
      <c r="R8" s="123">
        <f t="shared" ref="R8:R10" si="3">Q8/Q4</f>
        <v>1.4603585771797465</v>
      </c>
    </row>
    <row r="9" spans="1:18">
      <c r="A9" t="s">
        <v>166</v>
      </c>
      <c r="B9" s="181">
        <f>B5*R9</f>
        <v>1321012.2454227945</v>
      </c>
      <c r="C9" s="181">
        <f>C5*R9</f>
        <v>1941354.6793872507</v>
      </c>
      <c r="D9" s="2">
        <v>1244295.2797776489</v>
      </c>
      <c r="E9" s="2">
        <v>1232069.3831298361</v>
      </c>
      <c r="F9" s="2">
        <v>1177348.8888437469</v>
      </c>
      <c r="G9" s="2">
        <v>1121674.56100879</v>
      </c>
      <c r="H9" s="2">
        <v>1029307.5320810841</v>
      </c>
      <c r="I9" s="2">
        <v>1014899.83219353</v>
      </c>
      <c r="J9" s="2">
        <v>882470.07804660196</v>
      </c>
      <c r="K9" s="2">
        <v>815727.38810135098</v>
      </c>
      <c r="L9" s="2">
        <v>791921.87898699101</v>
      </c>
      <c r="M9" s="2">
        <v>827054.90643702704</v>
      </c>
      <c r="N9" s="2">
        <v>851903.717326115</v>
      </c>
      <c r="O9" s="2">
        <v>680649.21994248405</v>
      </c>
      <c r="P9" s="2">
        <v>598700.54233387206</v>
      </c>
      <c r="Q9" s="2">
        <f t="shared" si="2"/>
        <v>12268023.208209079</v>
      </c>
      <c r="R9" s="123">
        <f t="shared" si="3"/>
        <v>1.4632032253743925</v>
      </c>
    </row>
    <row r="10" spans="1:18" s="5" customFormat="1">
      <c r="A10" s="5" t="s">
        <v>167</v>
      </c>
      <c r="B10" s="181">
        <f>SUM(B7:B9)</f>
        <v>4922239.6284025786</v>
      </c>
      <c r="C10" s="181">
        <f>SUM(C7:C9)</f>
        <v>6519848.2875000071</v>
      </c>
      <c r="D10" s="8">
        <f>SUM(D7:D9)</f>
        <v>5130925.4280564412</v>
      </c>
      <c r="E10" s="8">
        <f t="shared" ref="E10" si="4">SUM(E7:E9)</f>
        <v>5128070.568353097</v>
      </c>
      <c r="F10" s="8">
        <f t="shared" ref="F10" si="5">SUM(F7:F9)</f>
        <v>5026757.8144334685</v>
      </c>
      <c r="G10" s="8">
        <f t="shared" ref="G10" si="6">SUM(G7:G9)</f>
        <v>4878957.4046190735</v>
      </c>
      <c r="H10" s="8">
        <f t="shared" ref="H10" si="7">SUM(H7:H9)</f>
        <v>4696749.0176452668</v>
      </c>
      <c r="I10" s="8">
        <f t="shared" ref="I10" si="8">SUM(I7:I9)</f>
        <v>4453401.424154182</v>
      </c>
      <c r="J10" s="8">
        <f t="shared" ref="J10" si="9">SUM(J7:J9)</f>
        <v>3858665.125513697</v>
      </c>
      <c r="K10" s="8">
        <f t="shared" ref="K10" si="10">SUM(K7:K9)</f>
        <v>3588874.065679437</v>
      </c>
      <c r="L10" s="8">
        <f t="shared" ref="L10" si="11">SUM(L7:L9)</f>
        <v>3570360.2831072919</v>
      </c>
      <c r="M10" s="8">
        <f t="shared" ref="M10" si="12">SUM(M7:M9)</f>
        <v>3710438.6950949365</v>
      </c>
      <c r="N10" s="8">
        <f t="shared" ref="N10" si="13">SUM(N7:N9)</f>
        <v>3748543.6451054127</v>
      </c>
      <c r="O10" s="8">
        <f t="shared" ref="O10" si="14">SUM(O7:O9)</f>
        <v>3223604.319630004</v>
      </c>
      <c r="P10" s="8">
        <f>SUM(P7:P9)</f>
        <v>3327630.1141166342</v>
      </c>
      <c r="Q10" s="8">
        <f>SUM(D10:P10)</f>
        <v>54342977.905508935</v>
      </c>
      <c r="R10" s="123">
        <f t="shared" si="3"/>
        <v>1.4354181699243995</v>
      </c>
    </row>
    <row r="11" spans="1:18" s="120" customFormat="1">
      <c r="A11" s="120" t="s">
        <v>168</v>
      </c>
      <c r="B11" s="121">
        <f>B10/B6</f>
        <v>1.4324437723892636</v>
      </c>
      <c r="C11" s="121">
        <f>C10/C6</f>
        <v>1.4366320433196329</v>
      </c>
      <c r="D11" s="121">
        <f>D10/D6</f>
        <v>1.5198377882955625</v>
      </c>
      <c r="E11" s="121">
        <f>E10/E6</f>
        <v>1.4836993352268817</v>
      </c>
      <c r="F11" s="121">
        <f t="shared" ref="F11:O11" si="15">F10/F6</f>
        <v>1.5458375437154939</v>
      </c>
      <c r="G11" s="121">
        <f t="shared" si="15"/>
        <v>1.5076344104922841</v>
      </c>
      <c r="H11" s="121">
        <f t="shared" si="15"/>
        <v>1.5488325605204938</v>
      </c>
      <c r="I11" s="121">
        <f t="shared" si="15"/>
        <v>1.463708641278993</v>
      </c>
      <c r="J11" s="121">
        <f t="shared" si="15"/>
        <v>1.2524169966263936</v>
      </c>
      <c r="K11" s="121">
        <f t="shared" si="15"/>
        <v>1.504533872466393</v>
      </c>
      <c r="L11" s="121">
        <f t="shared" si="15"/>
        <v>1.515695875560449</v>
      </c>
      <c r="M11" s="121">
        <f t="shared" si="15"/>
        <v>1.1494030803045681</v>
      </c>
      <c r="N11" s="121">
        <f>N10/N6</f>
        <v>1.1994436907011081</v>
      </c>
      <c r="O11" s="121">
        <f t="shared" si="15"/>
        <v>1.5066661948939812</v>
      </c>
      <c r="P11" s="121">
        <f>P10/P6</f>
        <v>1.5487748838502498</v>
      </c>
      <c r="Q11" s="121">
        <f>Q10/Q6</f>
        <v>1.4354181699243995</v>
      </c>
    </row>
    <row r="12" spans="1:18" s="120" customFormat="1">
      <c r="A12" s="120" t="s">
        <v>169</v>
      </c>
      <c r="B12" s="122">
        <f t="shared" ref="B12:D14" si="16">B7-B3</f>
        <v>451398.93062932952</v>
      </c>
      <c r="C12" s="122">
        <f t="shared" si="16"/>
        <v>510803.68219606881</v>
      </c>
      <c r="D12" s="122">
        <f t="shared" si="16"/>
        <v>483782.86145920993</v>
      </c>
      <c r="E12" s="121"/>
      <c r="F12" s="121"/>
      <c r="G12" s="121"/>
      <c r="H12" s="121"/>
      <c r="I12" s="121"/>
      <c r="J12" s="121"/>
      <c r="K12" s="121"/>
      <c r="L12" s="121"/>
      <c r="M12" s="121"/>
      <c r="N12" s="122">
        <f>N7-N3</f>
        <v>130130.56788965093</v>
      </c>
      <c r="O12" s="121"/>
      <c r="P12" s="122">
        <f>P7-P3</f>
        <v>351755.39455470699</v>
      </c>
      <c r="Q12" s="121"/>
    </row>
    <row r="13" spans="1:18" s="120" customFormat="1">
      <c r="A13" s="120" t="s">
        <v>170</v>
      </c>
      <c r="B13" s="122">
        <f t="shared" si="16"/>
        <v>616397.28552812478</v>
      </c>
      <c r="C13" s="122">
        <f t="shared" si="16"/>
        <v>856187.126916687</v>
      </c>
      <c r="D13" s="122">
        <f t="shared" si="16"/>
        <v>814895.07902343269</v>
      </c>
      <c r="E13" s="121"/>
      <c r="F13" s="121"/>
      <c r="G13" s="121"/>
      <c r="H13" s="121"/>
      <c r="I13" s="121"/>
      <c r="J13" s="121"/>
      <c r="K13" s="121"/>
      <c r="L13" s="121"/>
      <c r="M13" s="121"/>
      <c r="N13" s="122">
        <f>N8-N4</f>
        <v>338445.23542657983</v>
      </c>
      <c r="O13" s="121"/>
      <c r="P13" s="122">
        <f>P8-P4</f>
        <v>634107.082326442</v>
      </c>
      <c r="Q13" s="121"/>
    </row>
    <row r="14" spans="1:18" s="120" customFormat="1">
      <c r="A14" s="120" t="s">
        <v>171</v>
      </c>
      <c r="B14" s="122">
        <f t="shared" si="16"/>
        <v>418190.12029743148</v>
      </c>
      <c r="C14" s="122">
        <f t="shared" si="16"/>
        <v>614570.64438725077</v>
      </c>
      <c r="D14" s="122">
        <f t="shared" si="16"/>
        <v>456278.3758894729</v>
      </c>
      <c r="E14" s="121"/>
      <c r="F14" s="121"/>
      <c r="G14" s="121"/>
      <c r="H14" s="121"/>
      <c r="I14" s="121"/>
      <c r="J14" s="121"/>
      <c r="K14" s="121"/>
      <c r="L14" s="121"/>
      <c r="M14" s="121"/>
      <c r="N14" s="122">
        <f>N9-N5</f>
        <v>154732.639697882</v>
      </c>
      <c r="O14" s="121"/>
      <c r="P14" s="122">
        <f>P9-P5</f>
        <v>193211.28549238603</v>
      </c>
      <c r="Q14" s="121"/>
    </row>
    <row r="15" spans="1:18" s="120" customFormat="1">
      <c r="A15" s="120" t="s">
        <v>183</v>
      </c>
      <c r="B15" s="122"/>
      <c r="C15" s="122"/>
      <c r="D15" s="121"/>
      <c r="E15" s="121"/>
      <c r="F15" s="121"/>
      <c r="G15" s="121"/>
      <c r="H15" s="121"/>
      <c r="I15" s="121"/>
      <c r="J15" s="121"/>
      <c r="K15" s="121"/>
      <c r="L15" s="121"/>
      <c r="M15" s="121"/>
      <c r="N15" s="122">
        <f>SUM(N12:N14)</f>
        <v>623308.44301411277</v>
      </c>
      <c r="O15" s="121"/>
      <c r="P15" s="122">
        <f>SUM(P12:P14)</f>
        <v>1179073.762373535</v>
      </c>
      <c r="Q15" s="121"/>
    </row>
    <row r="16" spans="1:18" s="120" customFormat="1">
      <c r="A16" s="193" t="s">
        <v>253</v>
      </c>
      <c r="B16" s="122"/>
      <c r="C16" s="122"/>
      <c r="D16" s="121"/>
      <c r="E16" s="121"/>
      <c r="F16" s="121"/>
      <c r="G16" s="121"/>
      <c r="H16" s="121"/>
      <c r="I16" s="121"/>
      <c r="J16" s="121"/>
      <c r="K16" s="121"/>
      <c r="L16" s="121"/>
      <c r="M16" s="121"/>
      <c r="N16" s="121"/>
      <c r="O16" s="121"/>
      <c r="P16" s="122"/>
      <c r="Q16" s="121"/>
    </row>
    <row r="17" spans="1:19" s="190" customFormat="1">
      <c r="B17" s="191"/>
      <c r="C17" s="191"/>
      <c r="D17" s="192"/>
      <c r="E17" s="192"/>
      <c r="F17" s="192"/>
      <c r="G17" s="192"/>
      <c r="H17" s="192"/>
      <c r="I17" s="192"/>
      <c r="J17" s="192"/>
      <c r="K17" s="192"/>
      <c r="L17" s="192"/>
      <c r="M17" s="192"/>
      <c r="N17" s="192"/>
      <c r="O17" s="192"/>
      <c r="P17" s="191"/>
      <c r="Q17" s="192"/>
    </row>
    <row r="18" spans="1:19">
      <c r="A18" s="5" t="s">
        <v>117</v>
      </c>
      <c r="D18" s="119"/>
      <c r="Q18" t="s">
        <v>488</v>
      </c>
    </row>
    <row r="19" spans="1:19">
      <c r="A19" t="s">
        <v>118</v>
      </c>
      <c r="D19" s="119"/>
      <c r="P19" s="2">
        <v>645855.91498708003</v>
      </c>
    </row>
    <row r="20" spans="1:19">
      <c r="A20" t="s">
        <v>119</v>
      </c>
      <c r="D20" s="119"/>
      <c r="E20" s="2">
        <v>1584870.3582377301</v>
      </c>
      <c r="F20" s="2">
        <v>1513010.5081338999</v>
      </c>
      <c r="G20" s="2">
        <v>1504718.25096308</v>
      </c>
      <c r="H20" s="2">
        <v>1400019.1540341701</v>
      </c>
      <c r="I20" s="2">
        <v>1400727.1360420301</v>
      </c>
      <c r="J20" s="2">
        <v>1410871.1089897901</v>
      </c>
      <c r="K20" s="2">
        <v>1109738.4135157899</v>
      </c>
      <c r="L20" s="2">
        <v>1110586.64994008</v>
      </c>
      <c r="M20" s="2">
        <v>1534919.7314774201</v>
      </c>
      <c r="N20" s="2">
        <v>1510531.7513556301</v>
      </c>
      <c r="P20" s="2">
        <v>486790.40819360001</v>
      </c>
    </row>
    <row r="21" spans="1:19">
      <c r="A21" t="s">
        <v>120</v>
      </c>
      <c r="D21" s="119"/>
      <c r="P21" s="2">
        <v>402717.87848663999</v>
      </c>
      <c r="Q21" s="118">
        <f>P21*0.7</f>
        <v>281902.51494064799</v>
      </c>
    </row>
    <row r="22" spans="1:19" s="5" customFormat="1">
      <c r="A22" s="5" t="s">
        <v>121</v>
      </c>
      <c r="D22" s="182"/>
      <c r="P22" s="8">
        <f>SUM(P19:P21)</f>
        <v>1535364.2016673202</v>
      </c>
    </row>
    <row r="24" spans="1:19">
      <c r="A24" s="5" t="s">
        <v>214</v>
      </c>
      <c r="D24" s="119"/>
      <c r="P24" s="2"/>
    </row>
    <row r="25" spans="1:19">
      <c r="A25" t="s">
        <v>215</v>
      </c>
      <c r="D25" s="119"/>
      <c r="P25" s="630">
        <v>57693.740115500972</v>
      </c>
      <c r="Q25" s="114"/>
      <c r="R25" s="72"/>
      <c r="S25" t="s">
        <v>491</v>
      </c>
    </row>
    <row r="26" spans="1:19">
      <c r="A26" t="s">
        <v>216</v>
      </c>
      <c r="D26" s="119"/>
      <c r="P26" s="630">
        <v>142840.63950691314</v>
      </c>
      <c r="Q26" s="114"/>
      <c r="R26" s="75"/>
      <c r="S26" t="s">
        <v>492</v>
      </c>
    </row>
    <row r="27" spans="1:19">
      <c r="A27" t="s">
        <v>217</v>
      </c>
      <c r="D27" s="119"/>
      <c r="P27" s="630">
        <v>290673.70498120494</v>
      </c>
    </row>
    <row r="28" spans="1:19" s="5" customFormat="1">
      <c r="A28" s="5" t="s">
        <v>218</v>
      </c>
      <c r="D28" s="182"/>
      <c r="P28" s="328">
        <f>SUM(P25:P27)</f>
        <v>491208.08460361906</v>
      </c>
      <c r="R28" s="8"/>
    </row>
    <row r="29" spans="1:19" s="5" customFormat="1">
      <c r="A29" s="5" t="s">
        <v>494</v>
      </c>
      <c r="D29" s="182"/>
      <c r="P29" s="631">
        <f>P27+Q21</f>
        <v>572576.21992185293</v>
      </c>
      <c r="R29" s="8"/>
    </row>
    <row r="30" spans="1:19">
      <c r="A30" s="5" t="s">
        <v>493</v>
      </c>
      <c r="D30" s="119"/>
      <c r="P30" s="632">
        <f>'Portland_GHGs_1990-2017'!V17+'Portland_GHGs_1990-2017'!V19+'Portland_GHGs_1990-2017'!V21</f>
        <v>310009</v>
      </c>
      <c r="Q30" t="s">
        <v>495</v>
      </c>
    </row>
    <row r="31" spans="1:19">
      <c r="D31" s="119"/>
      <c r="P31" s="78">
        <f>'Dashboard - CEW Scenario'!BI38-'2030 Goal Calculation'!P30</f>
        <v>-332707.72824000008</v>
      </c>
    </row>
    <row r="32" spans="1:19">
      <c r="A32" s="5" t="s">
        <v>122</v>
      </c>
      <c r="D32" s="119"/>
    </row>
    <row r="33" spans="1:17" s="120" customFormat="1">
      <c r="A33" s="120" t="s">
        <v>140</v>
      </c>
      <c r="B33" s="2">
        <f>'Portland_GHGs_1990-2017'!B23</f>
        <v>9037646</v>
      </c>
      <c r="C33" s="2">
        <f>'Portland_GHGs_1990-2017'!E23</f>
        <v>10375646.04732321</v>
      </c>
      <c r="D33" s="121">
        <f>'Portland_GHGs_1990-2017'!J23</f>
        <v>8886987.0556300562</v>
      </c>
      <c r="E33" s="121"/>
      <c r="F33" s="121"/>
      <c r="G33" s="121"/>
      <c r="H33" s="121"/>
      <c r="I33" s="121"/>
      <c r="J33" s="121"/>
      <c r="K33" s="121"/>
      <c r="L33" s="121"/>
      <c r="M33" s="121"/>
      <c r="N33" s="121">
        <f>'Portland_GHGs_1990-2017'!T23</f>
        <v>8101244.9898130614</v>
      </c>
      <c r="O33" s="121">
        <f>'Portland_GHGs_1990-2017'!U23</f>
        <v>7266481.0096636275</v>
      </c>
      <c r="P33" s="121">
        <f>'Portland_GHGs_1990-2017'!V23</f>
        <v>7701120.079512029</v>
      </c>
      <c r="Q33" s="121"/>
    </row>
    <row r="34" spans="1:17" s="120" customFormat="1">
      <c r="A34" s="120" t="s">
        <v>141</v>
      </c>
      <c r="B34" s="122">
        <f>B33+SUM(B12:B14)</f>
        <v>10523632.336454885</v>
      </c>
      <c r="C34" s="122">
        <f>C33+SUM(C12:C14)</f>
        <v>12357207.500823217</v>
      </c>
      <c r="D34" s="122">
        <f t="shared" ref="D34:M34" si="17">D33+SUM(D12:D14)</f>
        <v>10641943.372002171</v>
      </c>
      <c r="E34" s="122">
        <f t="shared" si="17"/>
        <v>0</v>
      </c>
      <c r="F34" s="122">
        <f t="shared" si="17"/>
        <v>0</v>
      </c>
      <c r="G34" s="122">
        <f t="shared" si="17"/>
        <v>0</v>
      </c>
      <c r="H34" s="122">
        <f t="shared" si="17"/>
        <v>0</v>
      </c>
      <c r="I34" s="122">
        <f t="shared" si="17"/>
        <v>0</v>
      </c>
      <c r="J34" s="122">
        <f t="shared" si="17"/>
        <v>0</v>
      </c>
      <c r="K34" s="122">
        <f t="shared" si="17"/>
        <v>0</v>
      </c>
      <c r="L34" s="122">
        <f t="shared" si="17"/>
        <v>0</v>
      </c>
      <c r="M34" s="122">
        <f t="shared" si="17"/>
        <v>0</v>
      </c>
      <c r="N34" s="146">
        <f>N33+SUM(N12:N14)</f>
        <v>8724553.4328271747</v>
      </c>
      <c r="O34" s="146">
        <f>O33+SUM(O12:O14)</f>
        <v>7266481.0096636275</v>
      </c>
      <c r="P34" s="146">
        <f>P33+SUM(P12:P14)</f>
        <v>8880193.841885563</v>
      </c>
      <c r="Q34" s="147" t="s">
        <v>180</v>
      </c>
    </row>
    <row r="35" spans="1:17" s="120" customFormat="1">
      <c r="A35" s="5" t="s">
        <v>124</v>
      </c>
      <c r="B35" s="146">
        <f>B34*0.5</f>
        <v>5261816.1682274425</v>
      </c>
      <c r="C35" s="328"/>
      <c r="D35" s="121"/>
      <c r="E35" s="121"/>
      <c r="F35" s="121"/>
      <c r="G35" s="121"/>
      <c r="H35" s="121"/>
      <c r="I35" s="121"/>
      <c r="J35" s="121"/>
      <c r="K35" s="121"/>
      <c r="L35" s="121"/>
      <c r="M35" s="121"/>
      <c r="N35" s="121"/>
      <c r="O35" s="121"/>
      <c r="P35" s="121">
        <f>P34*(1-0.67)</f>
        <v>2930463.9678222355</v>
      </c>
      <c r="Q35" s="121"/>
    </row>
    <row r="36" spans="1:17" s="120" customFormat="1">
      <c r="A36" s="5" t="s">
        <v>219</v>
      </c>
      <c r="B36" s="121"/>
      <c r="C36" s="121"/>
      <c r="D36" s="121"/>
      <c r="E36" s="121"/>
      <c r="F36" s="121"/>
      <c r="G36" s="121"/>
      <c r="H36" s="121"/>
      <c r="I36" s="121"/>
      <c r="J36" s="121"/>
      <c r="K36" s="121"/>
      <c r="L36" s="121"/>
      <c r="M36" s="121"/>
      <c r="N36" s="121"/>
      <c r="O36" s="121"/>
      <c r="P36" s="146">
        <f>P34-B35</f>
        <v>3618377.6736581204</v>
      </c>
      <c r="Q36" s="121"/>
    </row>
    <row r="37" spans="1:17" s="120" customFormat="1">
      <c r="A37" s="120" t="s">
        <v>184</v>
      </c>
      <c r="B37" s="122"/>
      <c r="C37" s="122"/>
      <c r="D37" s="121"/>
      <c r="E37" s="121"/>
      <c r="F37" s="121"/>
      <c r="G37" s="121"/>
      <c r="H37" s="121"/>
      <c r="I37" s="121"/>
      <c r="J37" s="121"/>
      <c r="K37" s="121"/>
      <c r="L37" s="121"/>
      <c r="M37" s="121"/>
      <c r="N37" s="121"/>
      <c r="O37" s="121"/>
      <c r="P37" s="122">
        <f>P15+'Portland_GHGs_1990-2017'!V9+'Portland_GHGs_1990-2017'!V11+'Portland_GHGs_1990-2017'!V13</f>
        <v>5354200.762373535</v>
      </c>
      <c r="Q37" s="121">
        <f>P37+(SUM('Dashboard - CEW Scenario'!BI6:BI22))</f>
        <v>837534.60522539262</v>
      </c>
    </row>
    <row r="38" spans="1:17" s="120" customFormat="1">
      <c r="B38" s="122"/>
      <c r="C38" s="122"/>
      <c r="D38" s="121"/>
      <c r="E38" s="121"/>
      <c r="F38" s="121"/>
      <c r="G38" s="121"/>
      <c r="H38" s="121"/>
      <c r="I38" s="121"/>
      <c r="J38" s="121"/>
      <c r="K38" s="121"/>
      <c r="L38" s="121"/>
      <c r="M38" s="121"/>
      <c r="N38" s="121"/>
      <c r="O38" s="121"/>
      <c r="P38" s="121"/>
      <c r="Q38" s="121"/>
    </row>
    <row r="39" spans="1:17">
      <c r="A39" s="139" t="s">
        <v>172</v>
      </c>
      <c r="B39" s="139" t="s">
        <v>116</v>
      </c>
      <c r="C39" s="139"/>
      <c r="D39" t="s">
        <v>116</v>
      </c>
      <c r="E39" t="s">
        <v>116</v>
      </c>
      <c r="F39" t="s">
        <v>116</v>
      </c>
      <c r="G39" t="s">
        <v>116</v>
      </c>
      <c r="H39" t="s">
        <v>116</v>
      </c>
      <c r="I39" t="s">
        <v>116</v>
      </c>
      <c r="J39" t="s">
        <v>116</v>
      </c>
      <c r="K39" t="s">
        <v>116</v>
      </c>
      <c r="L39" t="s">
        <v>116</v>
      </c>
      <c r="M39" t="s">
        <v>116</v>
      </c>
      <c r="N39" t="s">
        <v>116</v>
      </c>
      <c r="O39" t="s">
        <v>116</v>
      </c>
      <c r="P39" t="s">
        <v>116</v>
      </c>
    </row>
    <row r="40" spans="1:17">
      <c r="A40" s="139" t="s">
        <v>173</v>
      </c>
      <c r="B40" s="139" t="s">
        <v>116</v>
      </c>
      <c r="C40" s="139"/>
      <c r="D40" t="s">
        <v>116</v>
      </c>
      <c r="E40" t="s">
        <v>116</v>
      </c>
      <c r="F40" t="s">
        <v>116</v>
      </c>
      <c r="G40" t="s">
        <v>116</v>
      </c>
      <c r="H40" t="s">
        <v>116</v>
      </c>
      <c r="I40" t="s">
        <v>116</v>
      </c>
      <c r="J40" t="s">
        <v>116</v>
      </c>
      <c r="K40" t="s">
        <v>116</v>
      </c>
      <c r="L40" t="s">
        <v>116</v>
      </c>
      <c r="M40" t="s">
        <v>116</v>
      </c>
      <c r="N40" t="s">
        <v>116</v>
      </c>
      <c r="O40" t="s">
        <v>116</v>
      </c>
      <c r="P40" t="s">
        <v>116</v>
      </c>
    </row>
  </sheetData>
  <sheetProtection algorithmName="SHA-512" hashValue="knjXb7efXbZvuVJh1K5oGN5QDBGYafjH0K2p1MhDvuOt2oWh9J3t+Dve6KJwa2vbsIsC4ItZ8jf+oJ8WYSdsYw==" saltValue="bF/kDCSH+i80+fKATAe1bQ==" spinCount="100000" sheet="1" objects="1" scenarios="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80374-13E9-5B45-A0F9-AF17B7B10D6F}">
  <sheetPr>
    <tabColor theme="0" tint="-0.34998626667073579"/>
  </sheetPr>
  <dimension ref="A2:AG126"/>
  <sheetViews>
    <sheetView topLeftCell="A51" zoomScale="160" zoomScaleNormal="160" workbookViewId="0">
      <selection activeCell="A75" sqref="A75:F81"/>
    </sheetView>
  </sheetViews>
  <sheetFormatPr defaultColWidth="11" defaultRowHeight="15.75"/>
  <cols>
    <col min="1" max="1" width="55.625" customWidth="1"/>
    <col min="2" max="2" width="18.875" customWidth="1"/>
    <col min="3" max="3" width="17.125" customWidth="1"/>
    <col min="4" max="4" width="12.625" customWidth="1"/>
    <col min="5" max="5" width="14" customWidth="1"/>
    <col min="6" max="6" width="13.875" customWidth="1"/>
    <col min="7" max="7" width="12" customWidth="1"/>
    <col min="8" max="8" width="14.875" customWidth="1"/>
    <col min="9" max="9" width="12.125" customWidth="1"/>
    <col min="10" max="10" width="10.375" customWidth="1"/>
    <col min="11" max="11" width="11" customWidth="1"/>
    <col min="12" max="12" width="6.375" customWidth="1"/>
    <col min="13" max="13" width="10.125" customWidth="1"/>
    <col min="14" max="14" width="10.875" customWidth="1"/>
    <col min="15" max="15" width="6.875" customWidth="1"/>
    <col min="16" max="17" width="10.875" customWidth="1"/>
    <col min="20" max="20" width="25.125" bestFit="1" customWidth="1"/>
    <col min="24" max="24" width="14.125" bestFit="1" customWidth="1"/>
  </cols>
  <sheetData>
    <row r="2" spans="1:9" s="258" customFormat="1" ht="18.75">
      <c r="A2" s="257" t="s">
        <v>341</v>
      </c>
    </row>
    <row r="4" spans="1:9">
      <c r="A4" s="219" t="s">
        <v>20</v>
      </c>
      <c r="B4" s="219" t="s">
        <v>132</v>
      </c>
      <c r="F4" t="s">
        <v>320</v>
      </c>
      <c r="G4" t="s">
        <v>317</v>
      </c>
      <c r="H4" t="s">
        <v>318</v>
      </c>
      <c r="I4" t="s">
        <v>319</v>
      </c>
    </row>
    <row r="5" spans="1:9">
      <c r="A5" t="s">
        <v>298</v>
      </c>
      <c r="B5" s="71">
        <v>798647</v>
      </c>
      <c r="C5" t="s">
        <v>309</v>
      </c>
      <c r="F5">
        <v>2003</v>
      </c>
      <c r="G5" s="71">
        <v>586</v>
      </c>
      <c r="H5" s="71">
        <v>243</v>
      </c>
      <c r="I5" s="71">
        <v>173</v>
      </c>
    </row>
    <row r="6" spans="1:9">
      <c r="A6" t="s">
        <v>299</v>
      </c>
      <c r="B6" s="71">
        <v>621439</v>
      </c>
      <c r="C6" t="s">
        <v>309</v>
      </c>
      <c r="F6">
        <v>2004</v>
      </c>
      <c r="G6" s="71">
        <v>2110</v>
      </c>
      <c r="H6" s="71">
        <v>1103</v>
      </c>
      <c r="I6" s="71">
        <v>791</v>
      </c>
    </row>
    <row r="7" spans="1:9">
      <c r="A7" t="s">
        <v>288</v>
      </c>
      <c r="B7" s="71">
        <f>B5-B6</f>
        <v>177208</v>
      </c>
      <c r="C7" t="s">
        <v>309</v>
      </c>
      <c r="F7">
        <v>2005</v>
      </c>
      <c r="G7" s="71">
        <v>2537</v>
      </c>
      <c r="H7" s="71">
        <v>1712</v>
      </c>
      <c r="I7" s="71">
        <v>682</v>
      </c>
    </row>
    <row r="8" spans="1:9">
      <c r="A8" t="s">
        <v>314</v>
      </c>
      <c r="B8" s="3">
        <f>B7/B5</f>
        <v>0.22188526345181289</v>
      </c>
      <c r="C8" t="s">
        <v>315</v>
      </c>
      <c r="F8">
        <v>2006</v>
      </c>
      <c r="G8" s="71">
        <v>2987</v>
      </c>
      <c r="H8" s="71">
        <v>1514</v>
      </c>
      <c r="I8" s="71">
        <v>2579</v>
      </c>
    </row>
    <row r="9" spans="1:9">
      <c r="A9" t="s">
        <v>149</v>
      </c>
      <c r="B9" s="71">
        <v>321968</v>
      </c>
      <c r="C9" t="s">
        <v>310</v>
      </c>
      <c r="D9" s="79"/>
      <c r="F9">
        <v>2007</v>
      </c>
      <c r="G9" s="71">
        <v>2392</v>
      </c>
      <c r="H9" s="71">
        <v>1805</v>
      </c>
      <c r="I9" s="71">
        <v>3057</v>
      </c>
    </row>
    <row r="10" spans="1:9">
      <c r="A10" t="s">
        <v>316</v>
      </c>
      <c r="B10" s="71">
        <v>212824</v>
      </c>
      <c r="C10" t="s">
        <v>310</v>
      </c>
      <c r="F10">
        <v>2008</v>
      </c>
      <c r="G10" s="71">
        <v>3155</v>
      </c>
      <c r="H10" s="71">
        <v>1879</v>
      </c>
      <c r="I10" s="71">
        <v>3485</v>
      </c>
    </row>
    <row r="11" spans="1:9">
      <c r="A11" t="s">
        <v>300</v>
      </c>
      <c r="B11" s="71">
        <v>138369</v>
      </c>
      <c r="C11" t="s">
        <v>310</v>
      </c>
      <c r="F11">
        <v>2009</v>
      </c>
      <c r="G11" s="71">
        <v>2840</v>
      </c>
      <c r="H11" s="71">
        <v>2271</v>
      </c>
      <c r="I11" s="71">
        <v>4872</v>
      </c>
    </row>
    <row r="12" spans="1:9">
      <c r="A12" t="s">
        <v>300</v>
      </c>
      <c r="B12" s="3">
        <f>AVERAGE(G22:H22)/B10</f>
        <v>0.10190814945682818</v>
      </c>
      <c r="C12" t="s">
        <v>311</v>
      </c>
      <c r="F12">
        <v>2010</v>
      </c>
      <c r="G12" s="71">
        <v>1369</v>
      </c>
      <c r="H12" s="71">
        <v>3694</v>
      </c>
      <c r="I12" s="71">
        <v>6540</v>
      </c>
    </row>
    <row r="13" spans="1:9">
      <c r="A13" t="s">
        <v>301</v>
      </c>
      <c r="B13" s="71">
        <v>14279</v>
      </c>
      <c r="C13" t="s">
        <v>310</v>
      </c>
      <c r="F13">
        <v>2011</v>
      </c>
      <c r="G13" s="71">
        <v>1074</v>
      </c>
      <c r="H13" s="71">
        <v>4245</v>
      </c>
      <c r="I13" s="71">
        <v>6034</v>
      </c>
    </row>
    <row r="14" spans="1:9">
      <c r="A14" t="s">
        <v>301</v>
      </c>
      <c r="B14" s="3">
        <f>B13/B9</f>
        <v>4.4349127863638621E-2</v>
      </c>
      <c r="C14" t="s">
        <v>315</v>
      </c>
      <c r="F14">
        <v>2012</v>
      </c>
      <c r="G14" s="71">
        <v>1325</v>
      </c>
      <c r="H14" s="71">
        <v>4981</v>
      </c>
      <c r="I14" s="71">
        <v>46231</v>
      </c>
    </row>
    <row r="15" spans="1:9">
      <c r="A15" t="s">
        <v>289</v>
      </c>
      <c r="B15" s="3">
        <v>0.54200000000000004</v>
      </c>
      <c r="C15" t="s">
        <v>312</v>
      </c>
      <c r="F15">
        <v>2013</v>
      </c>
      <c r="G15" s="71">
        <v>885</v>
      </c>
      <c r="H15" s="71">
        <v>4186</v>
      </c>
      <c r="I15" s="71">
        <v>13473</v>
      </c>
    </row>
    <row r="16" spans="1:9">
      <c r="A16" t="s">
        <v>289</v>
      </c>
      <c r="B16" s="71">
        <f>B9*B15</f>
        <v>174506.65600000002</v>
      </c>
      <c r="C16" t="s">
        <v>310</v>
      </c>
      <c r="F16">
        <v>2014</v>
      </c>
      <c r="G16" s="71">
        <v>832</v>
      </c>
      <c r="H16" s="71">
        <v>3034</v>
      </c>
      <c r="I16" s="71">
        <v>27176</v>
      </c>
    </row>
    <row r="17" spans="1:33">
      <c r="A17" t="s">
        <v>290</v>
      </c>
      <c r="B17" s="3">
        <v>0.45800000000000002</v>
      </c>
      <c r="C17" t="s">
        <v>312</v>
      </c>
      <c r="F17">
        <v>2015</v>
      </c>
      <c r="G17" s="71">
        <v>970</v>
      </c>
      <c r="H17" s="71">
        <v>2701</v>
      </c>
      <c r="I17" s="71">
        <v>13801</v>
      </c>
    </row>
    <row r="18" spans="1:33">
      <c r="A18" t="s">
        <v>290</v>
      </c>
      <c r="B18" s="71">
        <f>B9*B17</f>
        <v>147461.34400000001</v>
      </c>
      <c r="C18" t="s">
        <v>310</v>
      </c>
      <c r="F18">
        <v>2016</v>
      </c>
      <c r="G18" s="71">
        <v>1087</v>
      </c>
      <c r="H18" s="71">
        <v>1992</v>
      </c>
      <c r="I18" s="71">
        <v>12462</v>
      </c>
    </row>
    <row r="19" spans="1:33">
      <c r="A19" t="s">
        <v>302</v>
      </c>
      <c r="B19" s="3">
        <v>0.433</v>
      </c>
      <c r="C19" t="s">
        <v>312</v>
      </c>
      <c r="F19">
        <v>2017</v>
      </c>
      <c r="G19" s="71">
        <v>1399</v>
      </c>
      <c r="H19" s="71">
        <v>2414</v>
      </c>
      <c r="I19" s="71">
        <v>8786</v>
      </c>
    </row>
    <row r="20" spans="1:33">
      <c r="A20" t="s">
        <v>303</v>
      </c>
      <c r="B20" s="3">
        <v>0.504</v>
      </c>
      <c r="C20" t="s">
        <v>312</v>
      </c>
      <c r="F20">
        <v>2018</v>
      </c>
      <c r="G20" s="71">
        <v>1325</v>
      </c>
      <c r="H20" s="71">
        <v>2505</v>
      </c>
      <c r="I20" s="71">
        <v>5483</v>
      </c>
    </row>
    <row r="21" spans="1:33">
      <c r="A21" t="s">
        <v>304</v>
      </c>
      <c r="B21" s="3">
        <f>1-(SUM(B19:B20))</f>
        <v>6.2999999999999945E-2</v>
      </c>
      <c r="C21" t="s">
        <v>312</v>
      </c>
      <c r="F21">
        <v>2019</v>
      </c>
      <c r="G21" s="71">
        <v>1222</v>
      </c>
      <c r="H21" s="71">
        <v>2137</v>
      </c>
      <c r="I21" s="71">
        <v>6882</v>
      </c>
    </row>
    <row r="22" spans="1:33">
      <c r="A22" t="s">
        <v>305</v>
      </c>
      <c r="B22" s="71">
        <v>38057</v>
      </c>
      <c r="C22" t="s">
        <v>313</v>
      </c>
      <c r="F22" t="s">
        <v>18</v>
      </c>
      <c r="G22" s="71">
        <f>SUM(G12:G21)</f>
        <v>11488</v>
      </c>
      <c r="H22" s="71">
        <f t="shared" ref="H22:I22" si="0">SUM(H12:H21)</f>
        <v>31889</v>
      </c>
      <c r="I22" s="71">
        <f t="shared" si="0"/>
        <v>146868</v>
      </c>
    </row>
    <row r="23" spans="1:33">
      <c r="A23" t="s">
        <v>306</v>
      </c>
      <c r="B23" s="3">
        <f>19283/B22</f>
        <v>0.50668733741493022</v>
      </c>
      <c r="C23" t="s">
        <v>311</v>
      </c>
    </row>
    <row r="24" spans="1:33">
      <c r="A24" t="s">
        <v>307</v>
      </c>
      <c r="B24" s="3">
        <v>0.26</v>
      </c>
      <c r="C24" t="s">
        <v>311</v>
      </c>
    </row>
    <row r="25" spans="1:33">
      <c r="A25" s="74" t="s">
        <v>251</v>
      </c>
      <c r="B25" t="s">
        <v>308</v>
      </c>
    </row>
    <row r="27" spans="1:33" s="258" customFormat="1" ht="18.75">
      <c r="A27" s="257" t="s">
        <v>342</v>
      </c>
    </row>
    <row r="28" spans="1:33">
      <c r="B28" s="10" t="s">
        <v>15</v>
      </c>
      <c r="C28" s="10" t="s">
        <v>14</v>
      </c>
      <c r="D28" s="10"/>
      <c r="E28" s="10"/>
      <c r="G28" s="5"/>
      <c r="H28" s="8"/>
      <c r="I28" s="5"/>
      <c r="J28" s="5"/>
      <c r="K28" s="5"/>
      <c r="L28" s="5"/>
      <c r="S28" s="13"/>
      <c r="T28" s="13"/>
      <c r="U28" s="13"/>
      <c r="V28" s="13"/>
      <c r="W28" s="13"/>
      <c r="X28" s="13"/>
      <c r="Y28" s="13"/>
      <c r="Z28" s="13"/>
      <c r="AA28" s="13"/>
    </row>
    <row r="29" spans="1:33">
      <c r="A29" s="4" t="s">
        <v>11</v>
      </c>
      <c r="B29" s="8">
        <v>325039</v>
      </c>
      <c r="F29" s="165"/>
      <c r="H29" s="11"/>
      <c r="I29" s="2"/>
      <c r="J29" s="2"/>
      <c r="K29" s="2"/>
      <c r="L29" s="2"/>
      <c r="M29" s="165"/>
      <c r="N29" s="165"/>
      <c r="O29" s="165"/>
      <c r="P29" s="218"/>
      <c r="Q29" s="218"/>
      <c r="R29" s="13"/>
      <c r="S29" s="12"/>
      <c r="T29" s="12"/>
      <c r="U29" s="12"/>
      <c r="V29" s="12"/>
      <c r="W29" s="12"/>
      <c r="X29" s="12"/>
      <c r="Y29" s="12"/>
      <c r="Z29" s="12"/>
      <c r="AA29" s="12"/>
      <c r="AD29" s="165"/>
      <c r="AE29" s="165"/>
      <c r="AF29" s="165"/>
      <c r="AG29" s="165"/>
    </row>
    <row r="30" spans="1:33">
      <c r="A30" s="5" t="s">
        <v>12</v>
      </c>
      <c r="B30" s="8">
        <v>180276</v>
      </c>
      <c r="C30" s="6">
        <f>B30/B29</f>
        <v>0.55462882915588596</v>
      </c>
      <c r="D30" s="8"/>
      <c r="E30" s="8"/>
      <c r="H30" s="11"/>
      <c r="I30" s="2"/>
      <c r="J30" s="2"/>
      <c r="K30" s="2"/>
      <c r="L30" s="2"/>
      <c r="R30" s="12"/>
      <c r="S30" s="12"/>
      <c r="T30" s="12"/>
      <c r="U30" s="12"/>
      <c r="V30" s="12"/>
      <c r="W30" s="12"/>
      <c r="X30" s="12"/>
      <c r="Y30" s="12"/>
      <c r="Z30" s="12"/>
      <c r="AA30" s="12"/>
    </row>
    <row r="31" spans="1:33">
      <c r="A31" s="1" t="s">
        <v>2</v>
      </c>
      <c r="B31" s="2">
        <v>126953</v>
      </c>
      <c r="C31" s="220"/>
      <c r="D31" s="2"/>
      <c r="E31" s="2"/>
      <c r="H31" s="11"/>
      <c r="I31" s="2"/>
      <c r="J31" s="2"/>
      <c r="K31" s="2"/>
      <c r="L31" s="2"/>
      <c r="R31" s="14"/>
      <c r="S31" s="12"/>
      <c r="T31" s="12"/>
      <c r="U31" s="12"/>
      <c r="V31" s="12"/>
      <c r="W31" s="12"/>
      <c r="X31" s="12"/>
      <c r="Y31" s="12"/>
      <c r="Z31" s="12"/>
      <c r="AA31" s="12"/>
    </row>
    <row r="32" spans="1:33">
      <c r="A32" s="1" t="s">
        <v>3</v>
      </c>
      <c r="B32" s="2">
        <v>1846</v>
      </c>
      <c r="C32" s="3"/>
      <c r="D32" s="2"/>
      <c r="E32" s="2"/>
      <c r="H32" s="11"/>
      <c r="I32" s="2"/>
      <c r="J32" s="2"/>
      <c r="K32" s="2"/>
      <c r="L32" s="2"/>
      <c r="R32" s="14"/>
      <c r="S32" s="12"/>
      <c r="T32" s="12"/>
      <c r="U32" s="12"/>
      <c r="V32" s="12"/>
      <c r="W32" s="12"/>
      <c r="X32" s="12"/>
      <c r="Y32" s="12"/>
      <c r="Z32" s="12"/>
      <c r="AA32" s="12"/>
    </row>
    <row r="33" spans="1:27">
      <c r="A33" s="1" t="s">
        <v>4</v>
      </c>
      <c r="B33" s="2">
        <v>41475</v>
      </c>
      <c r="C33" s="3"/>
      <c r="D33" s="2"/>
      <c r="E33" s="2"/>
      <c r="H33" s="11"/>
      <c r="I33" s="2"/>
      <c r="J33" s="2"/>
      <c r="K33" s="2"/>
      <c r="L33" s="2"/>
      <c r="R33" s="12"/>
      <c r="S33" s="12"/>
      <c r="T33" s="12"/>
      <c r="U33" s="12"/>
      <c r="V33" s="12"/>
      <c r="W33" s="12"/>
      <c r="X33" s="12"/>
      <c r="Y33" s="12"/>
      <c r="Z33" s="12"/>
      <c r="AA33" s="12"/>
    </row>
    <row r="34" spans="1:27">
      <c r="A34" s="1" t="s">
        <v>5</v>
      </c>
      <c r="B34" s="2">
        <v>6047</v>
      </c>
      <c r="C34" s="3"/>
      <c r="D34" s="2"/>
      <c r="E34" s="2"/>
      <c r="H34" s="11"/>
      <c r="I34" s="2"/>
      <c r="J34" s="2"/>
      <c r="K34" s="2"/>
      <c r="L34" s="2"/>
      <c r="R34" s="14"/>
      <c r="S34" s="12"/>
      <c r="T34" s="12"/>
      <c r="U34" s="12"/>
      <c r="V34" s="12"/>
      <c r="W34" s="12"/>
      <c r="X34" s="12"/>
      <c r="Y34" s="12"/>
      <c r="Z34" s="12"/>
      <c r="AA34" s="12"/>
    </row>
    <row r="35" spans="1:27">
      <c r="A35" s="1" t="s">
        <v>6</v>
      </c>
      <c r="B35" s="2">
        <v>0</v>
      </c>
      <c r="C35" s="3"/>
      <c r="D35" s="2"/>
      <c r="E35" s="2"/>
      <c r="H35" s="11"/>
      <c r="I35" s="2"/>
      <c r="J35" s="2"/>
      <c r="K35" s="2"/>
      <c r="L35" s="2"/>
      <c r="R35" s="14"/>
      <c r="S35" s="12"/>
      <c r="T35" s="12"/>
      <c r="U35" s="12"/>
      <c r="V35" s="12"/>
      <c r="W35" s="12"/>
      <c r="X35" s="12"/>
      <c r="Y35" s="12"/>
      <c r="Z35" s="12"/>
      <c r="AA35" s="12"/>
    </row>
    <row r="36" spans="1:27">
      <c r="A36" s="1" t="s">
        <v>7</v>
      </c>
      <c r="B36" s="2">
        <v>2592</v>
      </c>
      <c r="C36" s="3"/>
      <c r="D36" s="2"/>
      <c r="E36" s="2"/>
      <c r="H36" s="11"/>
      <c r="I36" s="2"/>
      <c r="J36" s="2"/>
      <c r="K36" s="2"/>
      <c r="L36" s="2"/>
      <c r="R36" s="12"/>
      <c r="S36" s="12"/>
      <c r="T36" s="12"/>
      <c r="U36" s="12"/>
      <c r="V36" s="12"/>
      <c r="W36" s="12"/>
      <c r="X36" s="12"/>
      <c r="Y36" s="12"/>
      <c r="Z36" s="12"/>
      <c r="AA36" s="12"/>
    </row>
    <row r="37" spans="1:27">
      <c r="A37" s="1" t="s">
        <v>8</v>
      </c>
      <c r="B37" s="2">
        <v>135</v>
      </c>
      <c r="C37" s="3"/>
      <c r="D37" s="2"/>
      <c r="E37" s="2"/>
      <c r="H37" s="11"/>
      <c r="I37" s="2"/>
      <c r="J37" s="2"/>
      <c r="K37" s="2"/>
      <c r="L37" s="2"/>
      <c r="R37" s="12"/>
      <c r="S37" s="12"/>
      <c r="T37" s="12"/>
      <c r="U37" s="12"/>
      <c r="V37" s="12"/>
      <c r="W37" s="12"/>
      <c r="X37" s="12"/>
      <c r="Y37" s="12"/>
      <c r="Z37" s="12"/>
      <c r="AA37" s="12"/>
    </row>
    <row r="38" spans="1:27">
      <c r="A38" s="1" t="s">
        <v>9</v>
      </c>
      <c r="B38" s="2">
        <v>603</v>
      </c>
      <c r="C38" s="3"/>
      <c r="D38" s="2"/>
      <c r="E38" s="2"/>
      <c r="H38" s="11"/>
      <c r="I38" s="2"/>
      <c r="J38" s="2"/>
      <c r="K38" s="2"/>
      <c r="L38" s="2"/>
      <c r="R38" s="12"/>
      <c r="S38" s="12"/>
      <c r="T38" s="12"/>
      <c r="U38" s="12"/>
      <c r="V38" s="12"/>
      <c r="W38" s="12"/>
      <c r="X38" s="12"/>
      <c r="Y38" s="12"/>
      <c r="Z38" s="12"/>
      <c r="AA38" s="12"/>
    </row>
    <row r="39" spans="1:27">
      <c r="A39" s="1" t="s">
        <v>10</v>
      </c>
      <c r="B39" s="2">
        <v>625</v>
      </c>
      <c r="C39" s="3"/>
      <c r="D39" s="2"/>
      <c r="E39" s="2"/>
      <c r="I39" s="2"/>
      <c r="J39" s="2"/>
      <c r="K39" s="2"/>
      <c r="R39" s="12"/>
      <c r="S39" s="12"/>
      <c r="T39" s="12"/>
      <c r="U39" s="12"/>
      <c r="V39" s="12"/>
      <c r="W39" s="12"/>
      <c r="X39" s="12"/>
      <c r="Y39" s="12"/>
      <c r="Z39" s="12"/>
      <c r="AA39" s="12"/>
    </row>
    <row r="40" spans="1:27">
      <c r="A40" s="1" t="s">
        <v>16</v>
      </c>
      <c r="B40" s="2">
        <f>B31+B32+B34+B35+B38</f>
        <v>135449</v>
      </c>
      <c r="C40" s="6">
        <f>B40/B52</f>
        <v>0.76861398779968793</v>
      </c>
      <c r="D40" s="2"/>
      <c r="E40" s="2"/>
    </row>
    <row r="41" spans="1:27">
      <c r="A41" s="4" t="s">
        <v>13</v>
      </c>
      <c r="B41" s="8">
        <v>144763</v>
      </c>
      <c r="C41" s="6">
        <f>B41/B29</f>
        <v>0.44537117084411409</v>
      </c>
      <c r="D41" s="8"/>
      <c r="E41" s="8"/>
    </row>
    <row r="42" spans="1:27">
      <c r="A42" s="1" t="s">
        <v>2</v>
      </c>
      <c r="B42" s="2">
        <v>36843</v>
      </c>
      <c r="C42" s="6"/>
      <c r="D42" s="2"/>
      <c r="E42" s="2"/>
      <c r="S42" s="13"/>
      <c r="T42" s="13"/>
      <c r="U42" s="13"/>
      <c r="V42" s="13"/>
      <c r="W42" s="13"/>
      <c r="X42" s="13"/>
      <c r="Y42" s="13"/>
      <c r="Z42" s="13"/>
      <c r="AA42" s="13"/>
    </row>
    <row r="43" spans="1:27">
      <c r="A43" s="1" t="s">
        <v>3</v>
      </c>
      <c r="B43" s="2">
        <v>1952</v>
      </c>
      <c r="C43" s="6"/>
      <c r="D43" s="2"/>
      <c r="E43" s="2"/>
      <c r="R43" s="13"/>
    </row>
    <row r="44" spans="1:27">
      <c r="A44" s="1" t="s">
        <v>4</v>
      </c>
      <c r="B44" s="2">
        <v>101601</v>
      </c>
      <c r="C44" s="6"/>
      <c r="D44" s="2"/>
      <c r="E44" s="2"/>
      <c r="R44" s="13"/>
      <c r="S44" s="6"/>
      <c r="T44" s="6"/>
      <c r="U44" s="6"/>
      <c r="V44" s="6"/>
      <c r="W44" s="6"/>
      <c r="X44" s="6"/>
      <c r="Y44" s="6"/>
      <c r="Z44" s="6"/>
      <c r="AA44" s="6"/>
    </row>
    <row r="45" spans="1:27">
      <c r="A45" s="1" t="s">
        <v>5</v>
      </c>
      <c r="B45" s="2">
        <v>1443</v>
      </c>
      <c r="C45" s="6"/>
      <c r="D45" s="2"/>
      <c r="E45" s="2"/>
      <c r="R45" s="14"/>
      <c r="S45" s="3"/>
      <c r="T45" s="3"/>
      <c r="U45" s="3"/>
      <c r="V45" s="3"/>
      <c r="W45" s="3"/>
      <c r="X45" s="3"/>
      <c r="Y45" s="3"/>
      <c r="Z45" s="3"/>
      <c r="AA45" s="3"/>
    </row>
    <row r="46" spans="1:27">
      <c r="A46" s="1" t="s">
        <v>6</v>
      </c>
      <c r="B46" s="2">
        <v>0</v>
      </c>
      <c r="C46" s="6"/>
      <c r="D46" s="2"/>
      <c r="E46" s="2"/>
      <c r="R46" s="14"/>
      <c r="S46" s="3"/>
      <c r="T46" s="3"/>
      <c r="U46" s="3"/>
      <c r="V46" s="3"/>
      <c r="W46" s="3"/>
      <c r="X46" s="3"/>
      <c r="Y46" s="3"/>
      <c r="Z46" s="3"/>
      <c r="AA46" s="3"/>
    </row>
    <row r="47" spans="1:27">
      <c r="A47" s="1" t="s">
        <v>7</v>
      </c>
      <c r="B47" s="2">
        <v>904</v>
      </c>
      <c r="C47" s="6"/>
      <c r="D47" s="2"/>
      <c r="E47" s="2"/>
      <c r="R47" s="13"/>
      <c r="S47" s="6"/>
      <c r="T47" s="6"/>
      <c r="U47" s="6"/>
      <c r="V47" s="6"/>
      <c r="W47" s="6"/>
      <c r="X47" s="6"/>
      <c r="Y47" s="6"/>
      <c r="Z47" s="6"/>
      <c r="AA47" s="6"/>
    </row>
    <row r="48" spans="1:27">
      <c r="A48" s="1" t="s">
        <v>8</v>
      </c>
      <c r="B48" s="2">
        <v>96</v>
      </c>
      <c r="C48" s="6"/>
      <c r="D48" s="2"/>
      <c r="E48" s="2"/>
      <c r="R48" s="14"/>
      <c r="S48" s="3"/>
      <c r="T48" s="3"/>
      <c r="U48" s="3"/>
      <c r="V48" s="3"/>
      <c r="W48" s="3"/>
      <c r="X48" s="3"/>
      <c r="Y48" s="3"/>
      <c r="Z48" s="3"/>
      <c r="AA48" s="3"/>
    </row>
    <row r="49" spans="1:29">
      <c r="A49" s="1" t="s">
        <v>9</v>
      </c>
      <c r="B49" s="2">
        <v>538</v>
      </c>
      <c r="C49" s="6"/>
      <c r="D49" s="2"/>
      <c r="E49" s="2"/>
      <c r="R49" s="14"/>
      <c r="S49" s="3"/>
      <c r="T49" s="3"/>
      <c r="U49" s="3"/>
      <c r="V49" s="3"/>
      <c r="W49" s="3"/>
      <c r="X49" s="3"/>
      <c r="Y49" s="3"/>
      <c r="Z49" s="3"/>
      <c r="AA49" s="3"/>
      <c r="AC49" s="5"/>
    </row>
    <row r="50" spans="1:29">
      <c r="A50" s="1" t="s">
        <v>10</v>
      </c>
      <c r="B50" s="2">
        <v>1386</v>
      </c>
      <c r="C50" s="6"/>
      <c r="D50" s="2"/>
      <c r="E50" s="2"/>
      <c r="R50" s="13"/>
      <c r="S50" s="6"/>
      <c r="T50" s="6"/>
      <c r="U50" s="6"/>
      <c r="V50" s="6"/>
      <c r="W50" s="6"/>
      <c r="X50" s="6"/>
      <c r="Y50" s="6"/>
      <c r="Z50" s="6"/>
      <c r="AA50" s="6"/>
    </row>
    <row r="51" spans="1:29">
      <c r="A51" s="1" t="s">
        <v>16</v>
      </c>
      <c r="B51" s="2">
        <f>B42+B43+B45+B46+B49</f>
        <v>40776</v>
      </c>
      <c r="C51" s="6">
        <f>B51/B52</f>
        <v>0.2313860122003121</v>
      </c>
      <c r="D51" s="2"/>
      <c r="E51" s="2"/>
      <c r="R51" s="13"/>
      <c r="S51" s="6"/>
      <c r="T51" s="6"/>
      <c r="U51" s="6"/>
      <c r="V51" s="6"/>
      <c r="W51" s="6"/>
      <c r="X51" s="6"/>
      <c r="Y51" s="6"/>
      <c r="Z51" s="6"/>
      <c r="AA51" s="6"/>
    </row>
    <row r="52" spans="1:29">
      <c r="A52" s="4" t="s">
        <v>17</v>
      </c>
      <c r="B52" s="8">
        <f>B40+B51</f>
        <v>176225</v>
      </c>
      <c r="C52" s="6">
        <f>B52/B29</f>
        <v>0.54216570934564778</v>
      </c>
      <c r="D52" s="8"/>
      <c r="E52" s="8"/>
      <c r="R52" s="13"/>
      <c r="S52" s="6"/>
      <c r="T52" s="6"/>
      <c r="U52" s="6"/>
      <c r="V52" s="6"/>
      <c r="W52" s="6"/>
      <c r="X52" s="6"/>
      <c r="Y52" s="6"/>
      <c r="Z52" s="6"/>
      <c r="AA52" s="6"/>
      <c r="AC52" s="5"/>
    </row>
    <row r="53" spans="1:29">
      <c r="A53" s="1" t="s">
        <v>0</v>
      </c>
      <c r="R53" s="13"/>
      <c r="S53" s="6"/>
      <c r="T53" s="6"/>
      <c r="U53" s="6"/>
      <c r="V53" s="6"/>
      <c r="W53" s="6"/>
      <c r="X53" s="6"/>
      <c r="Y53" s="6"/>
      <c r="Z53" s="6"/>
      <c r="AA53" s="6"/>
    </row>
    <row r="54" spans="1:29">
      <c r="A54" s="1"/>
    </row>
    <row r="55" spans="1:29" s="188" customFormat="1" ht="18.75">
      <c r="A55" s="187" t="s">
        <v>340</v>
      </c>
    </row>
    <row r="56" spans="1:29">
      <c r="A56" s="1"/>
    </row>
    <row r="57" spans="1:29">
      <c r="A57" s="10" t="s">
        <v>156</v>
      </c>
      <c r="B57" s="10" t="s">
        <v>157</v>
      </c>
      <c r="C57" s="10" t="s">
        <v>561</v>
      </c>
      <c r="D57" s="10" t="s">
        <v>562</v>
      </c>
      <c r="E57" s="10" t="s">
        <v>563</v>
      </c>
    </row>
    <row r="58" spans="1:29" hidden="1">
      <c r="A58">
        <v>2017</v>
      </c>
      <c r="B58" s="113">
        <v>590062</v>
      </c>
      <c r="C58" s="113">
        <v>6922</v>
      </c>
      <c r="D58" s="113">
        <v>9927</v>
      </c>
      <c r="E58" s="113" t="s">
        <v>351</v>
      </c>
    </row>
    <row r="59" spans="1:29" hidden="1">
      <c r="A59">
        <v>2018</v>
      </c>
      <c r="B59" s="113"/>
      <c r="C59" s="113"/>
      <c r="D59" s="113"/>
      <c r="E59" s="113"/>
    </row>
    <row r="60" spans="1:29">
      <c r="A60">
        <v>2019</v>
      </c>
      <c r="B60" s="113">
        <v>590062</v>
      </c>
      <c r="C60" s="113">
        <v>6922</v>
      </c>
      <c r="D60" s="113">
        <v>9927</v>
      </c>
      <c r="E60" s="2">
        <f>SUM(C60:D60)</f>
        <v>16849</v>
      </c>
      <c r="F60" s="113" t="s">
        <v>351</v>
      </c>
    </row>
    <row r="61" spans="1:29" hidden="1">
      <c r="A61">
        <v>2020</v>
      </c>
      <c r="B61" s="113">
        <v>590062</v>
      </c>
      <c r="C61" s="113">
        <v>6922</v>
      </c>
      <c r="D61" s="113">
        <v>9927</v>
      </c>
      <c r="E61" s="113" t="s">
        <v>351</v>
      </c>
    </row>
    <row r="62" spans="1:29" hidden="1">
      <c r="A62">
        <v>2030</v>
      </c>
      <c r="B62" s="113">
        <v>590062</v>
      </c>
      <c r="C62" s="113">
        <v>6922</v>
      </c>
      <c r="D62" s="113">
        <v>9927</v>
      </c>
      <c r="E62" s="113" t="s">
        <v>351</v>
      </c>
    </row>
    <row r="63" spans="1:29" hidden="1">
      <c r="A63">
        <v>2050</v>
      </c>
      <c r="B63" s="113">
        <v>590062</v>
      </c>
      <c r="C63" s="113">
        <v>6922</v>
      </c>
      <c r="D63" s="113">
        <v>9927</v>
      </c>
      <c r="E63" s="113" t="s">
        <v>351</v>
      </c>
    </row>
    <row r="64" spans="1:29" hidden="1">
      <c r="A64" s="74" t="s">
        <v>159</v>
      </c>
      <c r="B64" s="80">
        <v>1.2482523981542037E-2</v>
      </c>
      <c r="C64" s="80">
        <v>1.8013294160656002E-2</v>
      </c>
      <c r="D64" s="80">
        <v>7.5924586867957E-3</v>
      </c>
      <c r="E64" s="80"/>
    </row>
    <row r="65" spans="1:5">
      <c r="A65" s="74" t="s">
        <v>536</v>
      </c>
      <c r="B65" s="71">
        <f>B60*D72</f>
        <v>28794.716722152963</v>
      </c>
      <c r="C65" s="80"/>
      <c r="D65" s="80"/>
      <c r="E65" s="80"/>
    </row>
    <row r="66" spans="1:5">
      <c r="A66" s="74" t="s">
        <v>114</v>
      </c>
      <c r="B66" s="128" t="s">
        <v>158</v>
      </c>
    </row>
    <row r="67" spans="1:5">
      <c r="A67" s="1"/>
      <c r="B67" s="1"/>
    </row>
    <row r="68" spans="1:5" s="5" customFormat="1">
      <c r="A68" s="4"/>
      <c r="B68" s="4" t="s">
        <v>533</v>
      </c>
      <c r="C68" s="5" t="s">
        <v>150</v>
      </c>
      <c r="D68" s="5" t="s">
        <v>534</v>
      </c>
    </row>
    <row r="69" spans="1:5">
      <c r="A69" s="1">
        <v>2020</v>
      </c>
      <c r="B69" s="664">
        <v>38348342.2018959</v>
      </c>
      <c r="C69" s="2">
        <v>1983938.2244212001</v>
      </c>
      <c r="D69" s="104">
        <f>C69/B69</f>
        <v>5.1734654238146348E-2</v>
      </c>
    </row>
    <row r="70" spans="1:5">
      <c r="A70" s="1">
        <v>2030</v>
      </c>
      <c r="B70" s="664">
        <v>41489571.373820603</v>
      </c>
      <c r="C70" s="2">
        <v>2100824.64713345</v>
      </c>
      <c r="D70" s="104">
        <f>C70/B70</f>
        <v>5.0635004835433033E-2</v>
      </c>
    </row>
    <row r="71" spans="1:5">
      <c r="A71" s="1">
        <v>2050</v>
      </c>
      <c r="B71" s="664">
        <v>44255760.9093896</v>
      </c>
      <c r="C71" s="2">
        <v>1970943.48440403</v>
      </c>
      <c r="D71" s="104">
        <f>C71/B71</f>
        <v>4.4535297640444851E-2</v>
      </c>
    </row>
    <row r="72" spans="1:5">
      <c r="A72" s="665" t="s">
        <v>535</v>
      </c>
      <c r="B72" s="664">
        <f>SUM(B69:B71)</f>
        <v>124093674.4851061</v>
      </c>
      <c r="C72" s="664">
        <f>SUM(C69:C71)</f>
        <v>6055706.3559586806</v>
      </c>
      <c r="D72" s="104">
        <f>C72/B72</f>
        <v>4.8799476533233736E-2</v>
      </c>
    </row>
    <row r="73" spans="1:5">
      <c r="A73" s="665" t="s">
        <v>114</v>
      </c>
      <c r="B73" s="1" t="s">
        <v>537</v>
      </c>
      <c r="C73" s="1" t="s">
        <v>537</v>
      </c>
    </row>
    <row r="74" spans="1:5">
      <c r="A74" s="1"/>
      <c r="B74" s="1"/>
    </row>
    <row r="75" spans="1:5">
      <c r="B75" s="10"/>
      <c r="C75" s="10"/>
      <c r="D75" s="10"/>
    </row>
    <row r="76" spans="1:5">
      <c r="B76" s="189"/>
    </row>
    <row r="77" spans="1:5">
      <c r="B77" s="189"/>
    </row>
    <row r="78" spans="1:5">
      <c r="B78" s="3"/>
    </row>
    <row r="79" spans="1:5">
      <c r="A79" s="74"/>
      <c r="B79" s="71"/>
    </row>
    <row r="80" spans="1:5">
      <c r="A80" s="74"/>
      <c r="B80" s="128"/>
    </row>
    <row r="81" spans="1:1">
      <c r="A81" s="74"/>
    </row>
    <row r="123" spans="1:3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row>
    <row r="126" spans="1:3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row>
  </sheetData>
  <hyperlinks>
    <hyperlink ref="B66" r:id="rId1" xr:uid="{4AF40486-7C8D-9247-913A-C8D4179F4D3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9F4149C834D24EAB5C36D932541170" ma:contentTypeVersion="13" ma:contentTypeDescription="Create a new document." ma:contentTypeScope="" ma:versionID="4b8021dea0a2b8425c6ef76a39d4801e">
  <xsd:schema xmlns:xsd="http://www.w3.org/2001/XMLSchema" xmlns:xs="http://www.w3.org/2001/XMLSchema" xmlns:p="http://schemas.microsoft.com/office/2006/metadata/properties" xmlns:ns2="ecec57dd-5c32-4f73-9046-03bac5f3c261" xmlns:ns3="95b52d1d-f458-4f10-929f-5c57c93cd82a" targetNamespace="http://schemas.microsoft.com/office/2006/metadata/properties" ma:root="true" ma:fieldsID="47236391a147337e4fa5fd2d7ccec196" ns2:_="" ns3:_="">
    <xsd:import namespace="ecec57dd-5c32-4f73-9046-03bac5f3c261"/>
    <xsd:import namespace="95b52d1d-f458-4f10-929f-5c57c93cd8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ec57dd-5c32-4f73-9046-03bac5f3c26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b52d1d-f458-4f10-929f-5c57c93cd8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628CA5-DD34-4A04-90C9-C0E04062DC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ec57dd-5c32-4f73-9046-03bac5f3c261"/>
    <ds:schemaRef ds:uri="95b52d1d-f458-4f10-929f-5c57c93cd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E28F9C-7AEC-42D8-9C2C-6E876E8CBAA6}">
  <ds:schemaRefs>
    <ds:schemaRef ds:uri="http://schemas.microsoft.com/office/2006/metadata/properties"/>
    <ds:schemaRef ds:uri="http://purl.org/dc/elements/1.1/"/>
    <ds:schemaRef ds:uri="http://purl.org/dc/terms/"/>
    <ds:schemaRef ds:uri="http://www.w3.org/XML/1998/namespace"/>
    <ds:schemaRef ds:uri="http://schemas.microsoft.com/office/2006/documentManagement/types"/>
    <ds:schemaRef ds:uri="http://purl.org/dc/dcmitype/"/>
    <ds:schemaRef ds:uri="95b52d1d-f458-4f10-929f-5c57c93cd82a"/>
    <ds:schemaRef ds:uri="ecec57dd-5c32-4f73-9046-03bac5f3c26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8C5F568B-68E8-4A1F-8505-EF86AE7D8E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Introduction</vt:lpstr>
      <vt:lpstr>Buildings Data</vt:lpstr>
      <vt:lpstr>Transport Data</vt:lpstr>
      <vt:lpstr>Dashboard - CEW Scenario</vt:lpstr>
      <vt:lpstr>CEW Calculations</vt:lpstr>
      <vt:lpstr>Forest C-Storage Data</vt:lpstr>
      <vt:lpstr>Portland_GHGs_1990-2017</vt:lpstr>
      <vt:lpstr>2030 Goal Calculation</vt:lpstr>
      <vt:lpstr>Talking Point Statistics</vt:lpstr>
      <vt:lpstr>A2030 Emissions Data</vt:lpstr>
      <vt:lpstr>Industrial RPS RNG</vt:lpstr>
      <vt:lpstr>Porttland Grid Mix+GHG Factors</vt:lpstr>
      <vt:lpstr>'Portland_GHGs_1990-2017'!Print_Area</vt:lpstr>
    </vt:vector>
  </TitlesOfParts>
  <Manager/>
  <Company>Good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Portland 2050 Climate Action Pathways Calculator</dc:title>
  <dc:subject/>
  <dc:creator>Aaron Toneys</dc:creator>
  <cp:keywords/>
  <dc:description/>
  <cp:lastModifiedBy>Diesner, Kyle</cp:lastModifiedBy>
  <dcterms:created xsi:type="dcterms:W3CDTF">2020-05-13T17:59:28Z</dcterms:created>
  <dcterms:modified xsi:type="dcterms:W3CDTF">2022-07-08T19:28:54Z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0x010100839F4149C834D24EAB5C36D932541170</vt:lpwstr>
  </property>
</Properties>
</file>