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ivotTables/pivotTable1.xml" ContentType="application/vnd.openxmlformats-officedocument.spreadsheetml.pivotTable+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O:\Budget Development\FY 2019-20\1. Budget Process Materials\General Fund Materials\Overhead\"/>
    </mc:Choice>
  </mc:AlternateContent>
  <xr:revisionPtr revIDLastSave="0" documentId="10_ncr:100000_{D1B1128D-AA19-4588-9BEE-3BAC34256335}" xr6:coauthVersionLast="31" xr6:coauthVersionMax="31" xr10:uidLastSave="{00000000-0000-0000-0000-000000000000}"/>
  <bookViews>
    <workbookView xWindow="0" yWindow="105" windowWidth="13230" windowHeight="5550" activeTab="5" xr2:uid="{00000000-000D-0000-FFFF-FFFF00000000}"/>
  </bookViews>
  <sheets>
    <sheet name="#s for Economist" sheetId="24" r:id="rId1"/>
    <sheet name="Version Update" sheetId="19" r:id="rId2"/>
    <sheet name="Summary of Changes" sheetId="27" r:id="rId3"/>
    <sheet name="Requested #s" sheetId="23" r:id="rId4"/>
    <sheet name="Cost Pool" sheetId="8" r:id="rId5"/>
    <sheet name="Charges" sheetId="16" r:id="rId6"/>
    <sheet name="Model" sheetId="12" r:id="rId7"/>
    <sheet name="Lookup Values" sheetId="5" r:id="rId8"/>
    <sheet name="Fund Notes &amp; Changes" sheetId="35" r:id="rId9"/>
    <sheet name="$ FY 2012-13" sheetId="18" r:id="rId10"/>
    <sheet name="Pos FY 2012-13" sheetId="17" r:id="rId11"/>
    <sheet name="$ FY 2013-14" sheetId="21" r:id="rId12"/>
    <sheet name="Pos FY 2013-14" sheetId="22" r:id="rId13"/>
    <sheet name="$ FY 2014-15" sheetId="25" r:id="rId14"/>
    <sheet name="Pos FY 2014-15" sheetId="26" r:id="rId15"/>
    <sheet name="$ FY 2015-16" sheetId="29" r:id="rId16"/>
    <sheet name="Pos FY 2015-16" sheetId="28" r:id="rId17"/>
    <sheet name="$ FY 2016-17" sheetId="30" r:id="rId18"/>
    <sheet name="Pos FY 2016-17" sheetId="31" r:id="rId19"/>
    <sheet name="$ FY 2017-18" sheetId="34" r:id="rId20"/>
    <sheet name="Pos FY 2017-18" sheetId="33" r:id="rId21"/>
  </sheets>
  <definedNames>
    <definedName name="_xlnm._FilterDatabase" localSheetId="17" hidden="1">'$ FY 2016-17'!$A$1:$N$80</definedName>
    <definedName name="Bureaus">'Lookup Values'!$H$3:$I$32</definedName>
    <definedName name="Cost_Pool">'Cost Pool'!$A$3:$F$19</definedName>
    <definedName name="Crosswalk">'Lookup Values'!$A$3:$C$105</definedName>
    <definedName name="Funds">'Lookup Values'!$E$3:$F$91</definedName>
    <definedName name="FY2012_13">'$ FY 2012-13'!$A$2:$J$81</definedName>
    <definedName name="FY2012_13P">'Pos FY 2012-13'!$A$2:$F$42</definedName>
    <definedName name="FY2013_14">'$ FY 2013-14'!$A$2:$J$83</definedName>
    <definedName name="FY2013_14P">'Pos FY 2013-14'!$A$2:$F$42</definedName>
    <definedName name="FY2014_15">'$ FY 2014-15'!$A$2:$J$80</definedName>
    <definedName name="FY2014_15P">'Pos FY 2014-15'!$A$2:$F$42</definedName>
    <definedName name="FY2015_16">'$ FY 2015-16'!$A$2:$J$83</definedName>
    <definedName name="FY2015_16P">'Pos FY 2015-16'!$A$2:$F$41</definedName>
    <definedName name="FY2016_17">'$ FY 2016-17'!$A$1:$L$80</definedName>
    <definedName name="FY2016_17P">'Pos FY 2016-17'!$A$1:$H$41</definedName>
    <definedName name="FY2017_18">'$ FY 2017-18'!$A$2:$J$77</definedName>
    <definedName name="FY2017_18P">'Pos FY 2017-18'!$A$1:$H$41</definedName>
    <definedName name="Model">Model!$A$2:$B$99</definedName>
    <definedName name="_xlnm.Print_Area" localSheetId="2">'Summary of Changes'!$A$1:$H$39</definedName>
    <definedName name="_xlnm.Print_Area" localSheetId="1">'Version Update'!$A$1:$D$40</definedName>
  </definedNames>
  <calcPr calcId="179017"/>
  <pivotCaches>
    <pivotCache cacheId="0" r:id="rId22"/>
  </pivotCaches>
</workbook>
</file>

<file path=xl/calcChain.xml><?xml version="1.0" encoding="utf-8"?>
<calcChain xmlns="http://schemas.openxmlformats.org/spreadsheetml/2006/main">
  <c r="G6" i="23" l="1"/>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5" i="23"/>
  <c r="U3" i="12"/>
  <c r="U4" i="12"/>
  <c r="U5" i="12"/>
  <c r="U6" i="12"/>
  <c r="U7" i="12"/>
  <c r="U8" i="12"/>
  <c r="U9" i="12"/>
  <c r="U10" i="12"/>
  <c r="U11" i="12"/>
  <c r="U12" i="12"/>
  <c r="U13" i="12"/>
  <c r="U14" i="12"/>
  <c r="U15" i="12"/>
  <c r="U16" i="12"/>
  <c r="U17" i="12"/>
  <c r="U18" i="12"/>
  <c r="U19" i="12"/>
  <c r="U20" i="12"/>
  <c r="U21" i="12"/>
  <c r="U22" i="12"/>
  <c r="U23" i="12"/>
  <c r="U24" i="12"/>
  <c r="U25" i="12"/>
  <c r="U26" i="12"/>
  <c r="U27" i="12"/>
  <c r="U28" i="12"/>
  <c r="U29" i="12"/>
  <c r="U30" i="12"/>
  <c r="U31" i="12"/>
  <c r="U32" i="12"/>
  <c r="U33" i="12"/>
  <c r="U34" i="12"/>
  <c r="U35" i="12"/>
  <c r="U36" i="12"/>
  <c r="U37" i="12"/>
  <c r="U38" i="12"/>
  <c r="U39" i="12"/>
  <c r="U40" i="12"/>
  <c r="U41" i="12"/>
  <c r="U42" i="12"/>
  <c r="U43" i="12"/>
  <c r="U44" i="12"/>
  <c r="U45" i="12"/>
  <c r="U46" i="12"/>
  <c r="U47" i="12"/>
  <c r="U48" i="12"/>
  <c r="U49" i="12"/>
  <c r="U50" i="12"/>
  <c r="U51" i="12"/>
  <c r="U52" i="12"/>
  <c r="U53" i="12"/>
  <c r="U54" i="12"/>
  <c r="U55" i="12"/>
  <c r="U56" i="12"/>
  <c r="U57" i="12"/>
  <c r="U58" i="12"/>
  <c r="U59" i="12"/>
  <c r="U60" i="12"/>
  <c r="U61" i="12"/>
  <c r="U62" i="12"/>
  <c r="U63" i="12"/>
  <c r="U64" i="12"/>
  <c r="U65" i="12"/>
  <c r="U66" i="12"/>
  <c r="U67" i="12"/>
  <c r="U68" i="12"/>
  <c r="U69" i="12"/>
  <c r="U70" i="12"/>
  <c r="U71" i="12"/>
  <c r="U72" i="12"/>
  <c r="U73" i="12"/>
  <c r="U74" i="12"/>
  <c r="U75" i="12"/>
  <c r="U76" i="12"/>
  <c r="U77" i="12"/>
  <c r="U78" i="12"/>
  <c r="U79" i="12"/>
  <c r="U80" i="12"/>
  <c r="U81" i="12"/>
  <c r="U82" i="12"/>
  <c r="U83" i="12"/>
  <c r="U84" i="12"/>
  <c r="U85" i="12"/>
  <c r="U86" i="12"/>
  <c r="U87" i="12"/>
  <c r="U88" i="12"/>
  <c r="U89" i="12"/>
  <c r="U90" i="12"/>
  <c r="U91" i="12"/>
  <c r="U92" i="12"/>
  <c r="U93" i="12"/>
  <c r="U94" i="12"/>
  <c r="U95" i="12"/>
  <c r="U96" i="12"/>
  <c r="U97" i="12"/>
  <c r="U98" i="12"/>
  <c r="U99" i="12"/>
  <c r="U2" i="12"/>
  <c r="C26" i="8" l="1"/>
  <c r="B26" i="8"/>
  <c r="E20" i="8"/>
  <c r="E27" i="8"/>
  <c r="T101" i="12"/>
  <c r="F9" i="8" l="1"/>
  <c r="C4" i="8" l="1"/>
  <c r="I59" i="30" l="1"/>
  <c r="I60" i="30"/>
  <c r="I61" i="30"/>
  <c r="I62" i="30"/>
  <c r="I63" i="30"/>
  <c r="I64" i="30"/>
  <c r="I65" i="30"/>
  <c r="I66" i="30"/>
  <c r="I67" i="30"/>
  <c r="I68" i="30"/>
  <c r="I69" i="30"/>
  <c r="I70" i="30"/>
  <c r="I71" i="30"/>
  <c r="I72" i="30"/>
  <c r="I73" i="30"/>
  <c r="I74" i="30"/>
  <c r="I75" i="30"/>
  <c r="I76" i="30"/>
  <c r="I77" i="30"/>
  <c r="I78" i="30"/>
  <c r="I79" i="30"/>
  <c r="I80" i="30"/>
  <c r="I4" i="30"/>
  <c r="I5" i="30"/>
  <c r="I6" i="30"/>
  <c r="I7" i="30"/>
  <c r="I8" i="30"/>
  <c r="I9" i="30"/>
  <c r="I10" i="30"/>
  <c r="I11" i="30"/>
  <c r="I12" i="30"/>
  <c r="I13" i="30"/>
  <c r="I14" i="30"/>
  <c r="I15" i="30"/>
  <c r="I16" i="30"/>
  <c r="I17" i="30"/>
  <c r="I18" i="30"/>
  <c r="I19" i="30"/>
  <c r="I20" i="30"/>
  <c r="I21" i="30"/>
  <c r="I22" i="30"/>
  <c r="I23" i="30"/>
  <c r="I24" i="30"/>
  <c r="I25" i="30"/>
  <c r="I26" i="30"/>
  <c r="I27" i="30"/>
  <c r="I28" i="30"/>
  <c r="I29" i="30"/>
  <c r="I30" i="30"/>
  <c r="I31" i="30"/>
  <c r="I32" i="30"/>
  <c r="I33" i="30"/>
  <c r="I34" i="30"/>
  <c r="I35" i="30"/>
  <c r="I36" i="30"/>
  <c r="I37" i="30"/>
  <c r="I38" i="30"/>
  <c r="I39" i="30"/>
  <c r="I40" i="30"/>
  <c r="I41" i="30"/>
  <c r="I42" i="30"/>
  <c r="I43" i="30"/>
  <c r="I44" i="30"/>
  <c r="I45" i="30"/>
  <c r="I46" i="30"/>
  <c r="I47" i="30"/>
  <c r="I48" i="30"/>
  <c r="I49" i="30"/>
  <c r="I50" i="30"/>
  <c r="I51" i="30"/>
  <c r="I52" i="30"/>
  <c r="I53" i="30"/>
  <c r="I54" i="30"/>
  <c r="I55" i="30"/>
  <c r="I56" i="30"/>
  <c r="I57" i="30"/>
  <c r="I58" i="30"/>
  <c r="I2" i="30"/>
  <c r="C14" i="8" l="1"/>
  <c r="C12" i="8"/>
  <c r="C11" i="8"/>
  <c r="C8" i="8"/>
  <c r="C6" i="8"/>
  <c r="C5" i="8" l="1"/>
  <c r="C3" i="8"/>
  <c r="F14" i="8"/>
  <c r="F12" i="8"/>
  <c r="F11" i="8"/>
  <c r="F10" i="8"/>
  <c r="F7" i="8"/>
  <c r="F4" i="8"/>
  <c r="G43" i="34" l="1"/>
  <c r="E71" i="34"/>
  <c r="E72" i="34"/>
  <c r="E73" i="34"/>
  <c r="E74" i="34"/>
  <c r="E75" i="34"/>
  <c r="E76" i="34"/>
  <c r="E77" i="34"/>
  <c r="D72" i="34"/>
  <c r="D73" i="34"/>
  <c r="D74" i="34"/>
  <c r="D75" i="34"/>
  <c r="D76" i="34"/>
  <c r="D77" i="34"/>
  <c r="F76" i="34"/>
  <c r="H3" i="34"/>
  <c r="I62" i="29" l="1"/>
  <c r="H99" i="12" l="1"/>
  <c r="D12" i="31" l="1"/>
  <c r="F68" i="34" l="1"/>
  <c r="L68" i="34"/>
  <c r="D69" i="34"/>
  <c r="D26" i="8" l="1"/>
  <c r="G99" i="12" l="1"/>
  <c r="F99" i="12"/>
  <c r="E99" i="12"/>
  <c r="N99" i="12" l="1"/>
  <c r="M99" i="12"/>
  <c r="L99" i="12"/>
  <c r="K99" i="12"/>
  <c r="J99" i="12"/>
  <c r="I99" i="12"/>
  <c r="U100" i="12"/>
  <c r="T100" i="12"/>
  <c r="O99" i="12" l="1"/>
  <c r="V99" i="12" s="1"/>
  <c r="D80" i="30"/>
  <c r="K77" i="34"/>
  <c r="L72" i="34"/>
  <c r="L73" i="34"/>
  <c r="L74" i="34"/>
  <c r="L75" i="34"/>
  <c r="L76" i="34"/>
  <c r="L77" i="34"/>
  <c r="L59" i="34"/>
  <c r="L60" i="34"/>
  <c r="L61" i="34"/>
  <c r="L62" i="34"/>
  <c r="L63" i="34"/>
  <c r="L64" i="34"/>
  <c r="L65" i="34"/>
  <c r="L66" i="34"/>
  <c r="L67" i="34"/>
  <c r="L69" i="34"/>
  <c r="L70" i="34"/>
  <c r="L71" i="34"/>
  <c r="H16" i="34"/>
  <c r="H12" i="34"/>
  <c r="H11" i="34"/>
  <c r="H10" i="34"/>
  <c r="G28" i="34"/>
  <c r="I27" i="34" l="1"/>
  <c r="I42" i="34"/>
  <c r="I44" i="34"/>
  <c r="I46" i="34"/>
  <c r="I47" i="34"/>
  <c r="I48" i="34"/>
  <c r="I49" i="34"/>
  <c r="I50" i="34"/>
  <c r="I51" i="34"/>
  <c r="I58" i="34"/>
  <c r="I72" i="34"/>
  <c r="I73" i="34"/>
  <c r="I74" i="34"/>
  <c r="I75" i="34"/>
  <c r="I76" i="34"/>
  <c r="I77" i="34"/>
  <c r="D16" i="33" l="1"/>
  <c r="E16" i="33" s="1"/>
  <c r="D12" i="33"/>
  <c r="D13" i="33"/>
  <c r="D10" i="33"/>
  <c r="E10" i="33" s="1"/>
  <c r="D9" i="33"/>
  <c r="E9" i="33" s="1"/>
  <c r="S9" i="33"/>
  <c r="D2" i="33"/>
  <c r="E2" i="33" s="1"/>
  <c r="D3" i="33"/>
  <c r="C43" i="33"/>
  <c r="B43" i="33"/>
  <c r="E24" i="33"/>
  <c r="E41" i="33"/>
  <c r="D71" i="34"/>
  <c r="E70" i="34"/>
  <c r="D70" i="34"/>
  <c r="E69" i="34"/>
  <c r="E68" i="34"/>
  <c r="D68" i="34"/>
  <c r="E67" i="34"/>
  <c r="D67" i="34"/>
  <c r="E66" i="34"/>
  <c r="D66" i="34"/>
  <c r="I66" i="34" s="1"/>
  <c r="E65" i="34"/>
  <c r="D65" i="34"/>
  <c r="E64" i="34"/>
  <c r="D64" i="34"/>
  <c r="E63" i="34"/>
  <c r="D63" i="34"/>
  <c r="E62" i="34"/>
  <c r="D62" i="34"/>
  <c r="I62" i="34" s="1"/>
  <c r="E61" i="34"/>
  <c r="D61" i="34"/>
  <c r="E60" i="34"/>
  <c r="D60" i="34"/>
  <c r="E59" i="34"/>
  <c r="D59" i="34"/>
  <c r="L58" i="34"/>
  <c r="E58" i="34"/>
  <c r="D58" i="34"/>
  <c r="E57" i="34"/>
  <c r="D57" i="34"/>
  <c r="E56" i="34"/>
  <c r="D56" i="34"/>
  <c r="E55" i="34"/>
  <c r="D55" i="34"/>
  <c r="L54" i="34"/>
  <c r="E54" i="34"/>
  <c r="D54" i="34"/>
  <c r="L53" i="34"/>
  <c r="E53" i="34"/>
  <c r="D53" i="34"/>
  <c r="L52" i="34"/>
  <c r="E52" i="34"/>
  <c r="D52" i="34"/>
  <c r="L51" i="34"/>
  <c r="E51" i="34"/>
  <c r="D51" i="34"/>
  <c r="L50" i="34"/>
  <c r="E50" i="34"/>
  <c r="D50" i="34"/>
  <c r="L49" i="34"/>
  <c r="E49" i="34"/>
  <c r="D49" i="34"/>
  <c r="L48" i="34"/>
  <c r="E48" i="34"/>
  <c r="D48" i="34"/>
  <c r="L47" i="34"/>
  <c r="E47" i="34"/>
  <c r="D47" i="34"/>
  <c r="L46" i="34"/>
  <c r="E46" i="34"/>
  <c r="D46" i="34"/>
  <c r="L45" i="34"/>
  <c r="E45" i="34"/>
  <c r="D45" i="34"/>
  <c r="L44" i="34"/>
  <c r="E44" i="34"/>
  <c r="D44" i="34"/>
  <c r="L43" i="34"/>
  <c r="E43" i="34"/>
  <c r="D43" i="34"/>
  <c r="L42" i="34"/>
  <c r="E42" i="34"/>
  <c r="D42" i="34"/>
  <c r="L41" i="34"/>
  <c r="E41" i="34"/>
  <c r="D41" i="34"/>
  <c r="L40" i="34"/>
  <c r="E40" i="34"/>
  <c r="D40" i="34"/>
  <c r="L39" i="34"/>
  <c r="E39" i="34"/>
  <c r="D39" i="34"/>
  <c r="L38" i="34"/>
  <c r="E38" i="34"/>
  <c r="D38" i="34"/>
  <c r="L37" i="34"/>
  <c r="E37" i="34"/>
  <c r="D37" i="34"/>
  <c r="E36" i="34"/>
  <c r="D36" i="34"/>
  <c r="L35" i="34"/>
  <c r="E35" i="34"/>
  <c r="D35" i="34"/>
  <c r="L34" i="34"/>
  <c r="E34" i="34"/>
  <c r="D34" i="34"/>
  <c r="L33" i="34"/>
  <c r="E33" i="34"/>
  <c r="D33" i="34"/>
  <c r="L32" i="34"/>
  <c r="E32" i="34"/>
  <c r="D32" i="34"/>
  <c r="L31" i="34"/>
  <c r="E31" i="34"/>
  <c r="D31" i="34"/>
  <c r="L30" i="34"/>
  <c r="E30" i="34"/>
  <c r="D30" i="34"/>
  <c r="L29" i="34"/>
  <c r="E29" i="34"/>
  <c r="D29" i="34"/>
  <c r="L28" i="34"/>
  <c r="E28" i="34"/>
  <c r="D28" i="34"/>
  <c r="L27" i="34"/>
  <c r="E27" i="34"/>
  <c r="D27" i="34"/>
  <c r="L26" i="34"/>
  <c r="E26" i="34"/>
  <c r="D26" i="34"/>
  <c r="L25" i="34"/>
  <c r="E25" i="34"/>
  <c r="D25" i="34"/>
  <c r="L24" i="34"/>
  <c r="E24" i="34"/>
  <c r="D24" i="34"/>
  <c r="L23" i="34"/>
  <c r="E23" i="34"/>
  <c r="D23" i="34"/>
  <c r="L22" i="34"/>
  <c r="E22" i="34"/>
  <c r="D22" i="34"/>
  <c r="L21" i="34"/>
  <c r="E21" i="34"/>
  <c r="D21" i="34"/>
  <c r="L20" i="34"/>
  <c r="E20" i="34"/>
  <c r="D20" i="34"/>
  <c r="L19" i="34"/>
  <c r="E19" i="34"/>
  <c r="D19" i="34"/>
  <c r="L18" i="34"/>
  <c r="E18" i="34"/>
  <c r="D18" i="34"/>
  <c r="L17" i="34"/>
  <c r="E17" i="34"/>
  <c r="D17" i="34"/>
  <c r="L16" i="34"/>
  <c r="E16" i="34"/>
  <c r="D16" i="34"/>
  <c r="L15" i="34"/>
  <c r="E15" i="34"/>
  <c r="D15" i="34"/>
  <c r="L14" i="34"/>
  <c r="E14" i="34"/>
  <c r="D14" i="34"/>
  <c r="L13" i="34"/>
  <c r="E13" i="34"/>
  <c r="D13" i="34"/>
  <c r="L12" i="34"/>
  <c r="E12" i="34"/>
  <c r="D12" i="34"/>
  <c r="L11" i="34"/>
  <c r="E11" i="34"/>
  <c r="D11" i="34"/>
  <c r="L10" i="34"/>
  <c r="E10" i="34"/>
  <c r="D10" i="34"/>
  <c r="L9" i="34"/>
  <c r="E9" i="34"/>
  <c r="D9" i="34"/>
  <c r="L8" i="34"/>
  <c r="E8" i="34"/>
  <c r="D8" i="34"/>
  <c r="L7" i="34"/>
  <c r="E7" i="34"/>
  <c r="D7" i="34"/>
  <c r="L6" i="34"/>
  <c r="E6" i="34"/>
  <c r="D6" i="34"/>
  <c r="L5" i="34"/>
  <c r="E5" i="34"/>
  <c r="D5" i="34"/>
  <c r="L4" i="34"/>
  <c r="E4" i="34"/>
  <c r="D4" i="34"/>
  <c r="L3" i="34"/>
  <c r="E3" i="34"/>
  <c r="D3" i="34"/>
  <c r="L2" i="34"/>
  <c r="E2" i="34"/>
  <c r="D2" i="34"/>
  <c r="E40" i="33"/>
  <c r="H39" i="33"/>
  <c r="E39" i="33"/>
  <c r="H38" i="33"/>
  <c r="E38" i="33"/>
  <c r="H37" i="33"/>
  <c r="E37" i="33"/>
  <c r="H36" i="33"/>
  <c r="E36" i="33"/>
  <c r="H35" i="33"/>
  <c r="E35" i="33"/>
  <c r="H34" i="33"/>
  <c r="E34" i="33"/>
  <c r="H33" i="33"/>
  <c r="E33" i="33"/>
  <c r="H32" i="33"/>
  <c r="E32" i="33"/>
  <c r="H31" i="33"/>
  <c r="E31" i="33"/>
  <c r="H30" i="33"/>
  <c r="E30" i="33"/>
  <c r="H29" i="33"/>
  <c r="E29" i="33"/>
  <c r="H28" i="33"/>
  <c r="E28" i="33"/>
  <c r="H27" i="33"/>
  <c r="E27" i="33"/>
  <c r="H26" i="33"/>
  <c r="E26" i="33"/>
  <c r="H25" i="33"/>
  <c r="E25" i="33"/>
  <c r="H24" i="33"/>
  <c r="H23" i="33"/>
  <c r="E23" i="33"/>
  <c r="H22" i="33"/>
  <c r="E22" i="33"/>
  <c r="H21" i="33"/>
  <c r="E21" i="33"/>
  <c r="H20" i="33"/>
  <c r="E20" i="33"/>
  <c r="H19" i="33"/>
  <c r="E19" i="33"/>
  <c r="H18" i="33"/>
  <c r="E18" i="33"/>
  <c r="H17" i="33"/>
  <c r="E17" i="33"/>
  <c r="H16" i="33"/>
  <c r="H15" i="33"/>
  <c r="E15" i="33"/>
  <c r="H14" i="33"/>
  <c r="E14" i="33"/>
  <c r="H13" i="33"/>
  <c r="E13" i="33"/>
  <c r="H12" i="33"/>
  <c r="E12" i="33"/>
  <c r="H11" i="33"/>
  <c r="E11" i="33"/>
  <c r="H10" i="33"/>
  <c r="H9" i="33"/>
  <c r="H8" i="33"/>
  <c r="E8" i="33"/>
  <c r="H7" i="33"/>
  <c r="E7" i="33"/>
  <c r="H6" i="33"/>
  <c r="E6" i="33"/>
  <c r="H5" i="33"/>
  <c r="E5" i="33"/>
  <c r="H4" i="33"/>
  <c r="E4" i="33"/>
  <c r="H3" i="33"/>
  <c r="E3" i="33"/>
  <c r="H2" i="33"/>
  <c r="F17" i="33" l="1"/>
  <c r="F21" i="33"/>
  <c r="F23" i="33"/>
  <c r="F41" i="33"/>
  <c r="F10" i="33"/>
  <c r="F4" i="33"/>
  <c r="F6" i="33"/>
  <c r="F8" i="33"/>
  <c r="F11" i="33"/>
  <c r="F13" i="33"/>
  <c r="F15" i="33"/>
  <c r="F26" i="33"/>
  <c r="F28" i="33"/>
  <c r="F30" i="33"/>
  <c r="F32" i="33"/>
  <c r="F34" i="33"/>
  <c r="F36" i="33"/>
  <c r="F38" i="33"/>
  <c r="F40" i="33"/>
  <c r="F24" i="33"/>
  <c r="F2" i="33"/>
  <c r="F19" i="33"/>
  <c r="F18" i="33"/>
  <c r="F20" i="33"/>
  <c r="F22" i="33"/>
  <c r="F3" i="33"/>
  <c r="F5" i="33"/>
  <c r="F7" i="33"/>
  <c r="F12" i="33"/>
  <c r="F14" i="33"/>
  <c r="F25" i="33"/>
  <c r="F27" i="33"/>
  <c r="F29" i="33"/>
  <c r="F31" i="33"/>
  <c r="F33" i="33"/>
  <c r="F35" i="33"/>
  <c r="F37" i="33"/>
  <c r="F39" i="33"/>
  <c r="F9" i="33"/>
  <c r="F16" i="33"/>
  <c r="I6" i="34"/>
  <c r="I10" i="34"/>
  <c r="I14" i="34"/>
  <c r="I18" i="34"/>
  <c r="I22" i="34"/>
  <c r="I26" i="34"/>
  <c r="I29" i="34"/>
  <c r="I33" i="34"/>
  <c r="I40" i="34"/>
  <c r="I53" i="34"/>
  <c r="I56" i="34"/>
  <c r="I69" i="34"/>
  <c r="I71" i="34"/>
  <c r="I5" i="34"/>
  <c r="I9" i="34"/>
  <c r="I13" i="34"/>
  <c r="I17" i="34"/>
  <c r="I21" i="34"/>
  <c r="I25" i="34"/>
  <c r="I32" i="34"/>
  <c r="I36" i="34"/>
  <c r="I39" i="34"/>
  <c r="I43" i="34"/>
  <c r="I52" i="34"/>
  <c r="I61" i="34"/>
  <c r="I65" i="34"/>
  <c r="I68" i="34"/>
  <c r="I3" i="34"/>
  <c r="I4" i="34"/>
  <c r="I8" i="34"/>
  <c r="I12" i="34"/>
  <c r="I16" i="34"/>
  <c r="I20" i="34"/>
  <c r="I24" i="34"/>
  <c r="I28" i="34"/>
  <c r="I31" i="34"/>
  <c r="I35" i="34"/>
  <c r="I38" i="34"/>
  <c r="I55" i="34"/>
  <c r="I57" i="34"/>
  <c r="I60" i="34"/>
  <c r="I64" i="34"/>
  <c r="I70" i="34"/>
  <c r="I2" i="34"/>
  <c r="I7" i="34"/>
  <c r="I11" i="34"/>
  <c r="I15" i="34"/>
  <c r="I19" i="34"/>
  <c r="I23" i="34"/>
  <c r="I30" i="34"/>
  <c r="I34" i="34"/>
  <c r="I37" i="34"/>
  <c r="I41" i="34"/>
  <c r="I45" i="34"/>
  <c r="I54" i="34"/>
  <c r="I59" i="34"/>
  <c r="I63" i="34"/>
  <c r="I67" i="34"/>
  <c r="J77" i="34" l="1"/>
  <c r="J63" i="34"/>
  <c r="J62" i="34"/>
  <c r="J23" i="34"/>
  <c r="J7" i="34"/>
  <c r="J35" i="34"/>
  <c r="J54" i="34"/>
  <c r="J34" i="34"/>
  <c r="J15" i="34"/>
  <c r="J70" i="34"/>
  <c r="J55" i="34"/>
  <c r="J28" i="34"/>
  <c r="J12" i="34"/>
  <c r="J68" i="34"/>
  <c r="J43" i="34"/>
  <c r="J25" i="34"/>
  <c r="J9" i="34"/>
  <c r="J56" i="34"/>
  <c r="J29" i="34"/>
  <c r="J14" i="34"/>
  <c r="J66" i="34"/>
  <c r="J67" i="34"/>
  <c r="J45" i="34"/>
  <c r="J30" i="34"/>
  <c r="J11" i="34"/>
  <c r="J64" i="34"/>
  <c r="J38" i="34"/>
  <c r="J24" i="34"/>
  <c r="J8" i="34"/>
  <c r="J65" i="34"/>
  <c r="J39" i="34"/>
  <c r="J21" i="34"/>
  <c r="J5" i="34"/>
  <c r="J53" i="34"/>
  <c r="J26" i="34"/>
  <c r="J10" i="34"/>
  <c r="J41" i="34"/>
  <c r="J60" i="34"/>
  <c r="J20" i="34"/>
  <c r="J4" i="34"/>
  <c r="J61" i="34"/>
  <c r="J36" i="34"/>
  <c r="J17" i="34"/>
  <c r="J71" i="34"/>
  <c r="J40" i="34"/>
  <c r="J22" i="34"/>
  <c r="J6" i="34"/>
  <c r="J59" i="34"/>
  <c r="J37" i="34"/>
  <c r="J19" i="34"/>
  <c r="J73" i="34"/>
  <c r="J75" i="34"/>
  <c r="J74" i="34"/>
  <c r="J46" i="34"/>
  <c r="J58" i="34"/>
  <c r="J50" i="34"/>
  <c r="J51" i="34"/>
  <c r="J72" i="34"/>
  <c r="J48" i="34"/>
  <c r="J76" i="34"/>
  <c r="J47" i="34"/>
  <c r="J44" i="34"/>
  <c r="J42" i="34"/>
  <c r="J49" i="34"/>
  <c r="J27" i="34"/>
  <c r="J57" i="34"/>
  <c r="J31" i="34"/>
  <c r="J16" i="34"/>
  <c r="J3" i="34"/>
  <c r="J52" i="34"/>
  <c r="J32" i="34"/>
  <c r="J13" i="34"/>
  <c r="J69" i="34"/>
  <c r="J33" i="34"/>
  <c r="J18" i="34"/>
  <c r="J2" i="34"/>
  <c r="J79" i="34" l="1"/>
  <c r="D42" i="19" l="1"/>
  <c r="B42" i="19"/>
  <c r="C42" i="19" l="1"/>
  <c r="B42" i="31" l="1"/>
  <c r="D3" i="31"/>
  <c r="D3" i="24" l="1"/>
  <c r="H7" i="30" l="1"/>
  <c r="D16" i="31" l="1"/>
  <c r="E3" i="8" l="1"/>
  <c r="E19" i="8"/>
  <c r="E41" i="31" l="1"/>
  <c r="H40" i="31"/>
  <c r="E40" i="31"/>
  <c r="H39" i="31"/>
  <c r="E39" i="31"/>
  <c r="H38" i="31"/>
  <c r="E38" i="31"/>
  <c r="H37" i="31"/>
  <c r="E37" i="31"/>
  <c r="H36" i="31"/>
  <c r="E36" i="31"/>
  <c r="H35" i="31"/>
  <c r="E35" i="31"/>
  <c r="H34" i="31"/>
  <c r="E34" i="31"/>
  <c r="H33" i="31"/>
  <c r="E33" i="31"/>
  <c r="H32" i="31"/>
  <c r="E32" i="31"/>
  <c r="H31" i="31"/>
  <c r="E31" i="31"/>
  <c r="H30" i="31"/>
  <c r="E30" i="31"/>
  <c r="H29" i="31"/>
  <c r="E29" i="31"/>
  <c r="H28" i="31"/>
  <c r="E28" i="31"/>
  <c r="H27" i="31"/>
  <c r="E27" i="31"/>
  <c r="H26" i="31"/>
  <c r="E26" i="31"/>
  <c r="H25" i="31"/>
  <c r="E25" i="31"/>
  <c r="H24" i="31"/>
  <c r="E24" i="31"/>
  <c r="H23" i="31"/>
  <c r="E23" i="31"/>
  <c r="H22" i="31"/>
  <c r="E22" i="31"/>
  <c r="H21" i="31"/>
  <c r="E21" i="31"/>
  <c r="H20" i="31"/>
  <c r="E20" i="31"/>
  <c r="H19" i="31"/>
  <c r="E19" i="31"/>
  <c r="H18" i="31"/>
  <c r="E18" i="31"/>
  <c r="H17" i="31"/>
  <c r="E17" i="31"/>
  <c r="H16" i="31"/>
  <c r="E16" i="31"/>
  <c r="H15" i="31"/>
  <c r="E15" i="31"/>
  <c r="H14" i="31"/>
  <c r="E14" i="31"/>
  <c r="H13" i="31"/>
  <c r="D13" i="31"/>
  <c r="E13" i="31" s="1"/>
  <c r="H12" i="31"/>
  <c r="E12" i="31"/>
  <c r="H11" i="31"/>
  <c r="E11" i="31"/>
  <c r="H10" i="31"/>
  <c r="D10" i="31"/>
  <c r="E10" i="31" s="1"/>
  <c r="H9" i="31"/>
  <c r="E9" i="31"/>
  <c r="H8" i="31"/>
  <c r="E8" i="31"/>
  <c r="H7" i="31"/>
  <c r="E7" i="31"/>
  <c r="H6" i="31"/>
  <c r="E6" i="31"/>
  <c r="H5" i="31"/>
  <c r="E5" i="31"/>
  <c r="H4" i="31"/>
  <c r="E4" i="31"/>
  <c r="H3" i="31"/>
  <c r="E3" i="31"/>
  <c r="H2" i="31"/>
  <c r="E2" i="31"/>
  <c r="K80" i="30"/>
  <c r="L79" i="30"/>
  <c r="E79" i="30"/>
  <c r="D79" i="30"/>
  <c r="L78" i="30"/>
  <c r="E78" i="30"/>
  <c r="D78" i="30"/>
  <c r="L77" i="30"/>
  <c r="E77" i="30"/>
  <c r="D77" i="30"/>
  <c r="L76" i="30"/>
  <c r="E76" i="30"/>
  <c r="D76" i="30"/>
  <c r="L75" i="30"/>
  <c r="E75" i="30"/>
  <c r="D75" i="30"/>
  <c r="L74" i="30"/>
  <c r="E74" i="30"/>
  <c r="D74" i="30"/>
  <c r="L73" i="30"/>
  <c r="E73" i="30"/>
  <c r="D73" i="30"/>
  <c r="L72" i="30"/>
  <c r="E72" i="30"/>
  <c r="D72" i="30"/>
  <c r="L71" i="30"/>
  <c r="E71" i="30"/>
  <c r="D71" i="30"/>
  <c r="L70" i="30"/>
  <c r="E70" i="30"/>
  <c r="D70" i="30"/>
  <c r="L69" i="30"/>
  <c r="E69" i="30"/>
  <c r="D69" i="30"/>
  <c r="L68" i="30"/>
  <c r="E68" i="30"/>
  <c r="D68" i="30"/>
  <c r="L67" i="30"/>
  <c r="E67" i="30"/>
  <c r="D67" i="30"/>
  <c r="L66" i="30"/>
  <c r="E66" i="30"/>
  <c r="D66" i="30"/>
  <c r="L65" i="30"/>
  <c r="E65" i="30"/>
  <c r="D65" i="30"/>
  <c r="L64" i="30"/>
  <c r="E64" i="30"/>
  <c r="D64" i="30"/>
  <c r="L63" i="30"/>
  <c r="E63" i="30"/>
  <c r="D63" i="30"/>
  <c r="L62" i="30"/>
  <c r="E62" i="30"/>
  <c r="D62" i="30"/>
  <c r="L61" i="30"/>
  <c r="E61" i="30"/>
  <c r="D61" i="30"/>
  <c r="L60" i="30"/>
  <c r="E60" i="30"/>
  <c r="D60" i="30"/>
  <c r="L59" i="30"/>
  <c r="E59" i="30"/>
  <c r="D59" i="30"/>
  <c r="L58" i="30"/>
  <c r="E58" i="30"/>
  <c r="D58" i="30"/>
  <c r="L57" i="30"/>
  <c r="E57" i="30"/>
  <c r="D57" i="30"/>
  <c r="L56" i="30"/>
  <c r="E56" i="30"/>
  <c r="D56" i="30"/>
  <c r="L55" i="30"/>
  <c r="E55" i="30"/>
  <c r="D55" i="30"/>
  <c r="L54" i="30"/>
  <c r="E54" i="30"/>
  <c r="D54" i="30"/>
  <c r="L53" i="30"/>
  <c r="E53" i="30"/>
  <c r="D53" i="30"/>
  <c r="L52" i="30"/>
  <c r="E52" i="30"/>
  <c r="D52" i="30"/>
  <c r="L51" i="30"/>
  <c r="E51" i="30"/>
  <c r="D51" i="30"/>
  <c r="L50" i="30"/>
  <c r="E50" i="30"/>
  <c r="D50" i="30"/>
  <c r="L49" i="30"/>
  <c r="E49" i="30"/>
  <c r="D49" i="30"/>
  <c r="L48" i="30"/>
  <c r="E48" i="30"/>
  <c r="D48" i="30"/>
  <c r="L47" i="30"/>
  <c r="E47" i="30"/>
  <c r="D47" i="30"/>
  <c r="L46" i="30"/>
  <c r="E46" i="30"/>
  <c r="D46" i="30"/>
  <c r="L45" i="30"/>
  <c r="G45" i="30"/>
  <c r="E45" i="30"/>
  <c r="D45" i="30"/>
  <c r="L44" i="30"/>
  <c r="E44" i="30"/>
  <c r="D44" i="30"/>
  <c r="L43" i="30"/>
  <c r="E43" i="30"/>
  <c r="D43" i="30"/>
  <c r="L42" i="30"/>
  <c r="E42" i="30"/>
  <c r="D42" i="30"/>
  <c r="L41" i="30"/>
  <c r="E41" i="30"/>
  <c r="D41" i="30"/>
  <c r="L40" i="30"/>
  <c r="E40" i="30"/>
  <c r="D40" i="30"/>
  <c r="L39" i="30"/>
  <c r="E39" i="30"/>
  <c r="D39" i="30"/>
  <c r="E38" i="30"/>
  <c r="D38" i="30"/>
  <c r="L37" i="30"/>
  <c r="E37" i="30"/>
  <c r="D37" i="30"/>
  <c r="L36" i="30"/>
  <c r="E36" i="30"/>
  <c r="D36" i="30"/>
  <c r="L35" i="30"/>
  <c r="E35" i="30"/>
  <c r="D35" i="30"/>
  <c r="L34" i="30"/>
  <c r="E34" i="30"/>
  <c r="D34" i="30"/>
  <c r="L33" i="30"/>
  <c r="E33" i="30"/>
  <c r="D33" i="30"/>
  <c r="L32" i="30"/>
  <c r="E32" i="30"/>
  <c r="D32" i="30"/>
  <c r="L31" i="30"/>
  <c r="E31" i="30"/>
  <c r="D31" i="30"/>
  <c r="L30" i="30"/>
  <c r="E30" i="30"/>
  <c r="D30" i="30"/>
  <c r="L29" i="30"/>
  <c r="G29" i="30"/>
  <c r="E29" i="30"/>
  <c r="D29" i="30"/>
  <c r="L28" i="30"/>
  <c r="E28" i="30"/>
  <c r="D28" i="30"/>
  <c r="L27" i="30"/>
  <c r="E27" i="30"/>
  <c r="D27" i="30"/>
  <c r="L26" i="30"/>
  <c r="E26" i="30"/>
  <c r="D26" i="30"/>
  <c r="L25" i="30"/>
  <c r="E25" i="30"/>
  <c r="D25" i="30"/>
  <c r="L24" i="30"/>
  <c r="E24" i="30"/>
  <c r="D24" i="30"/>
  <c r="L23" i="30"/>
  <c r="E23" i="30"/>
  <c r="D23" i="30"/>
  <c r="L22" i="30"/>
  <c r="E22" i="30"/>
  <c r="D22" i="30"/>
  <c r="L21" i="30"/>
  <c r="E21" i="30"/>
  <c r="D21" i="30"/>
  <c r="L20" i="30"/>
  <c r="E20" i="30"/>
  <c r="D20" i="30"/>
  <c r="L19" i="30"/>
  <c r="E19" i="30"/>
  <c r="D19" i="30"/>
  <c r="L18" i="30"/>
  <c r="E18" i="30"/>
  <c r="D18" i="30"/>
  <c r="L17" i="30"/>
  <c r="H17" i="30"/>
  <c r="E17" i="30"/>
  <c r="D17" i="30"/>
  <c r="L16" i="30"/>
  <c r="E16" i="30"/>
  <c r="D16" i="30"/>
  <c r="L15" i="30"/>
  <c r="E15" i="30"/>
  <c r="D15" i="30"/>
  <c r="L14" i="30"/>
  <c r="H14" i="30"/>
  <c r="E14" i="30"/>
  <c r="D14" i="30"/>
  <c r="L13" i="30"/>
  <c r="H13" i="30"/>
  <c r="E13" i="30"/>
  <c r="D13" i="30"/>
  <c r="L12" i="30"/>
  <c r="H12" i="30"/>
  <c r="E12" i="30"/>
  <c r="D12" i="30"/>
  <c r="L11" i="30"/>
  <c r="E11" i="30"/>
  <c r="D11" i="30"/>
  <c r="L10" i="30"/>
  <c r="E10" i="30"/>
  <c r="D10" i="30"/>
  <c r="L9" i="30"/>
  <c r="E9" i="30"/>
  <c r="D9" i="30"/>
  <c r="L8" i="30"/>
  <c r="E8" i="30"/>
  <c r="D8" i="30"/>
  <c r="L7" i="30"/>
  <c r="E7" i="30"/>
  <c r="D7" i="30"/>
  <c r="L6" i="30"/>
  <c r="E6" i="30"/>
  <c r="D6" i="30"/>
  <c r="L5" i="30"/>
  <c r="E5" i="30"/>
  <c r="D5" i="30"/>
  <c r="L4" i="30"/>
  <c r="E4" i="30"/>
  <c r="D4" i="30"/>
  <c r="N3" i="30"/>
  <c r="L3" i="30"/>
  <c r="H3" i="30"/>
  <c r="E3" i="30"/>
  <c r="D3" i="30"/>
  <c r="I3" i="30" s="1"/>
  <c r="L2" i="30"/>
  <c r="E2" i="30"/>
  <c r="D2" i="30"/>
  <c r="F3" i="31" l="1"/>
  <c r="F11" i="31"/>
  <c r="F15" i="31"/>
  <c r="F27" i="31"/>
  <c r="F18" i="31"/>
  <c r="F30" i="31"/>
  <c r="F38" i="31"/>
  <c r="F5" i="31"/>
  <c r="F9" i="31"/>
  <c r="F13" i="31"/>
  <c r="F17" i="31"/>
  <c r="F21" i="31"/>
  <c r="F25" i="31"/>
  <c r="F29" i="31"/>
  <c r="F33" i="31"/>
  <c r="F37" i="31"/>
  <c r="F41" i="31"/>
  <c r="F7" i="31"/>
  <c r="F19" i="31"/>
  <c r="F23" i="31"/>
  <c r="F31" i="31"/>
  <c r="F35" i="31"/>
  <c r="F39" i="31"/>
  <c r="F6" i="31"/>
  <c r="F10" i="31"/>
  <c r="F14" i="31"/>
  <c r="F22" i="31"/>
  <c r="F26" i="31"/>
  <c r="F34" i="31"/>
  <c r="F4" i="31"/>
  <c r="F8" i="31"/>
  <c r="F12" i="31"/>
  <c r="F16" i="31"/>
  <c r="F20" i="31"/>
  <c r="F24" i="31"/>
  <c r="F28" i="31"/>
  <c r="F32" i="31"/>
  <c r="F36" i="31"/>
  <c r="F40" i="31"/>
  <c r="F2" i="31"/>
  <c r="J39" i="30" l="1"/>
  <c r="J67" i="30"/>
  <c r="J66" i="30"/>
  <c r="J74" i="30"/>
  <c r="J37" i="30"/>
  <c r="J33" i="30"/>
  <c r="J15" i="30"/>
  <c r="J12" i="30"/>
  <c r="J78" i="30"/>
  <c r="J71" i="30"/>
  <c r="J46" i="30"/>
  <c r="J30" i="30"/>
  <c r="J10" i="30"/>
  <c r="J21" i="30"/>
  <c r="J5" i="30"/>
  <c r="J22" i="30"/>
  <c r="J50" i="30"/>
  <c r="J69" i="30"/>
  <c r="J44" i="30"/>
  <c r="J26" i="30"/>
  <c r="J51" i="30"/>
  <c r="J20" i="30"/>
  <c r="J48" i="30"/>
  <c r="J68" i="30"/>
  <c r="J35" i="30"/>
  <c r="J31" i="30"/>
  <c r="J11" i="30"/>
  <c r="J77" i="30"/>
  <c r="J60" i="30"/>
  <c r="J40" i="30"/>
  <c r="J27" i="30"/>
  <c r="J70" i="30"/>
  <c r="J58" i="30"/>
  <c r="J64" i="30"/>
  <c r="J19" i="30"/>
  <c r="J16" i="30"/>
  <c r="J65" i="30"/>
  <c r="J36" i="30"/>
  <c r="J24" i="30"/>
  <c r="J47" i="30"/>
  <c r="J80" i="30"/>
  <c r="J57" i="30"/>
  <c r="J14" i="30"/>
  <c r="J41" i="30"/>
  <c r="J72" i="30"/>
  <c r="J25" i="30"/>
  <c r="J4" i="30"/>
  <c r="J76" i="30"/>
  <c r="J59" i="30"/>
  <c r="J38" i="30"/>
  <c r="J18" i="30"/>
  <c r="J62" i="30"/>
  <c r="J54" i="30"/>
  <c r="J45" i="30"/>
  <c r="J6" i="30"/>
  <c r="J79" i="30"/>
  <c r="J53" i="30"/>
  <c r="J34" i="30"/>
  <c r="J63" i="30"/>
  <c r="J43" i="30"/>
  <c r="J2" i="30"/>
  <c r="J9" i="30"/>
  <c r="J17" i="30"/>
  <c r="J7" i="30"/>
  <c r="J75" i="30"/>
  <c r="J52" i="30"/>
  <c r="J32" i="30"/>
  <c r="J13" i="30"/>
  <c r="J55" i="30"/>
  <c r="J28" i="30"/>
  <c r="J42" i="30"/>
  <c r="J56" i="30"/>
  <c r="J73" i="30"/>
  <c r="J49" i="30"/>
  <c r="J29" i="30"/>
  <c r="J61" i="30"/>
  <c r="J23" i="30"/>
  <c r="J3" i="30"/>
  <c r="J8" i="30"/>
  <c r="F42" i="31"/>
  <c r="C44" i="19" l="1"/>
  <c r="C46" i="19" s="1"/>
  <c r="L12" i="8" l="1"/>
  <c r="B5" i="27" l="1"/>
  <c r="C5" i="27"/>
  <c r="B6" i="27"/>
  <c r="C6" i="27"/>
  <c r="B7" i="27"/>
  <c r="C7" i="27"/>
  <c r="B8" i="27"/>
  <c r="C8" i="27"/>
  <c r="B9" i="27"/>
  <c r="C9" i="27"/>
  <c r="B10" i="27"/>
  <c r="C10" i="27"/>
  <c r="B11" i="27"/>
  <c r="C11" i="27"/>
  <c r="B12" i="27"/>
  <c r="C12" i="27"/>
  <c r="B13" i="27"/>
  <c r="C13" i="27"/>
  <c r="B14" i="27"/>
  <c r="C14" i="27"/>
  <c r="B15" i="27"/>
  <c r="C15" i="27"/>
  <c r="B16" i="27"/>
  <c r="C16" i="27"/>
  <c r="B17" i="27"/>
  <c r="C17" i="27"/>
  <c r="B18" i="27"/>
  <c r="C18" i="27"/>
  <c r="B19" i="27"/>
  <c r="C19" i="27"/>
  <c r="B20" i="27"/>
  <c r="C20" i="27"/>
  <c r="B21" i="27"/>
  <c r="C21" i="27"/>
  <c r="B22" i="27"/>
  <c r="C22" i="27"/>
  <c r="B23" i="27"/>
  <c r="C23" i="27"/>
  <c r="B24" i="27"/>
  <c r="C24" i="27"/>
  <c r="B25" i="27"/>
  <c r="C25" i="27"/>
  <c r="B26" i="27"/>
  <c r="C26" i="27"/>
  <c r="B27" i="27"/>
  <c r="C27" i="27"/>
  <c r="B28" i="27"/>
  <c r="C28" i="27"/>
  <c r="B29" i="27"/>
  <c r="C29" i="27"/>
  <c r="B30" i="27"/>
  <c r="C30" i="27"/>
  <c r="B31" i="27"/>
  <c r="C31" i="27"/>
  <c r="B32" i="27"/>
  <c r="C32" i="27"/>
  <c r="B33" i="27"/>
  <c r="C33" i="27"/>
  <c r="B34" i="27"/>
  <c r="C34" i="27"/>
  <c r="B35" i="27"/>
  <c r="C35" i="27"/>
  <c r="B36" i="27"/>
  <c r="C36" i="27"/>
  <c r="B37" i="27"/>
  <c r="C37" i="27"/>
  <c r="B38" i="27"/>
  <c r="C38" i="27"/>
  <c r="C4" i="27"/>
  <c r="B4" i="27"/>
  <c r="E10" i="8"/>
  <c r="E11" i="8"/>
  <c r="E12" i="8"/>
  <c r="E13" i="8"/>
  <c r="E14" i="8"/>
  <c r="E15" i="8"/>
  <c r="E16" i="8"/>
  <c r="E17" i="8"/>
  <c r="E18" i="8"/>
  <c r="E4" i="8"/>
  <c r="E5" i="8"/>
  <c r="E6" i="8"/>
  <c r="E7" i="8"/>
  <c r="E8" i="8"/>
  <c r="M12" i="8" l="1"/>
  <c r="N12" i="8" s="1"/>
  <c r="B66" i="29"/>
  <c r="B69" i="29" l="1"/>
  <c r="D69" i="29" l="1"/>
  <c r="G47" i="29"/>
  <c r="G28" i="29"/>
  <c r="H16" i="29"/>
  <c r="H12" i="29"/>
  <c r="G9" i="29"/>
  <c r="H6" i="29"/>
  <c r="F82" i="29"/>
  <c r="B72" i="12"/>
  <c r="H72" i="12" s="1"/>
  <c r="L79" i="29"/>
  <c r="L80" i="29"/>
  <c r="L81" i="29"/>
  <c r="L82" i="29"/>
  <c r="L83" i="29"/>
  <c r="D79" i="29"/>
  <c r="E79" i="29"/>
  <c r="D80" i="29"/>
  <c r="I80" i="29" s="1"/>
  <c r="E80" i="29"/>
  <c r="D81" i="29"/>
  <c r="E81" i="29"/>
  <c r="D82" i="29"/>
  <c r="E82" i="29"/>
  <c r="D83" i="29"/>
  <c r="E83" i="29"/>
  <c r="L71" i="29"/>
  <c r="L69" i="29"/>
  <c r="L68" i="29"/>
  <c r="L61" i="29"/>
  <c r="L58" i="29"/>
  <c r="L54" i="29"/>
  <c r="L53" i="29"/>
  <c r="L50" i="29"/>
  <c r="L49" i="29"/>
  <c r="I46" i="29"/>
  <c r="L41" i="29"/>
  <c r="L38" i="29"/>
  <c r="L33" i="29"/>
  <c r="L30" i="29"/>
  <c r="L25" i="29"/>
  <c r="L22" i="29"/>
  <c r="L21" i="29"/>
  <c r="L18" i="29"/>
  <c r="L17" i="29"/>
  <c r="L14" i="29"/>
  <c r="L13" i="29"/>
  <c r="L10" i="29"/>
  <c r="L6" i="29"/>
  <c r="L5" i="29"/>
  <c r="L78" i="29"/>
  <c r="E78" i="29"/>
  <c r="D78" i="29"/>
  <c r="L77" i="29"/>
  <c r="E77" i="29"/>
  <c r="D77" i="29"/>
  <c r="L76" i="29"/>
  <c r="E76" i="29"/>
  <c r="D76" i="29"/>
  <c r="E75" i="29"/>
  <c r="D75" i="29"/>
  <c r="I75" i="29" s="1"/>
  <c r="L74" i="29"/>
  <c r="E74" i="29"/>
  <c r="D74" i="29"/>
  <c r="L73" i="29"/>
  <c r="E73" i="29"/>
  <c r="I73" i="29" s="1"/>
  <c r="D73" i="29"/>
  <c r="L72" i="29"/>
  <c r="E72" i="29"/>
  <c r="D72" i="29"/>
  <c r="E71" i="29"/>
  <c r="D71" i="29"/>
  <c r="L70" i="29"/>
  <c r="E70" i="29"/>
  <c r="D70" i="29"/>
  <c r="E69" i="29"/>
  <c r="E68" i="29"/>
  <c r="D68" i="29"/>
  <c r="L67" i="29"/>
  <c r="E67" i="29"/>
  <c r="D67" i="29"/>
  <c r="L66" i="29"/>
  <c r="E66" i="29"/>
  <c r="D66" i="29"/>
  <c r="L65" i="29"/>
  <c r="E65" i="29"/>
  <c r="D65" i="29"/>
  <c r="L64" i="29"/>
  <c r="E64" i="29"/>
  <c r="D64" i="29"/>
  <c r="L63" i="29"/>
  <c r="E63" i="29"/>
  <c r="I63" i="29" s="1"/>
  <c r="D63" i="29"/>
  <c r="L62" i="29"/>
  <c r="E62" i="29"/>
  <c r="D62" i="29"/>
  <c r="E61" i="29"/>
  <c r="D61" i="29"/>
  <c r="L60" i="29"/>
  <c r="E60" i="29"/>
  <c r="D60" i="29"/>
  <c r="I60" i="29" s="1"/>
  <c r="L59" i="29"/>
  <c r="E59" i="29"/>
  <c r="D59" i="29"/>
  <c r="E58" i="29"/>
  <c r="D58" i="29"/>
  <c r="L57" i="29"/>
  <c r="E57" i="29"/>
  <c r="D57" i="29"/>
  <c r="L56" i="29"/>
  <c r="E56" i="29"/>
  <c r="D56" i="29"/>
  <c r="L55" i="29"/>
  <c r="I55" i="29"/>
  <c r="E55" i="29"/>
  <c r="D55" i="29"/>
  <c r="I54" i="29"/>
  <c r="E54" i="29"/>
  <c r="D54" i="29"/>
  <c r="E53" i="29"/>
  <c r="D53" i="29"/>
  <c r="L52" i="29"/>
  <c r="I52" i="29"/>
  <c r="E52" i="29"/>
  <c r="D52" i="29"/>
  <c r="L51" i="29"/>
  <c r="I51" i="29"/>
  <c r="E51" i="29"/>
  <c r="D51" i="29"/>
  <c r="E50" i="29"/>
  <c r="D50" i="29"/>
  <c r="E49" i="29"/>
  <c r="D49" i="29"/>
  <c r="L48" i="29"/>
  <c r="E48" i="29"/>
  <c r="D48" i="29"/>
  <c r="L47" i="29"/>
  <c r="E47" i="29"/>
  <c r="D47" i="29"/>
  <c r="L46" i="29"/>
  <c r="E46" i="29"/>
  <c r="D46" i="29"/>
  <c r="L45" i="29"/>
  <c r="E45" i="29"/>
  <c r="D45" i="29"/>
  <c r="I45" i="29" s="1"/>
  <c r="L44" i="29"/>
  <c r="E44" i="29"/>
  <c r="D44" i="29"/>
  <c r="L43" i="29"/>
  <c r="E43" i="29"/>
  <c r="D43" i="29"/>
  <c r="L42" i="29"/>
  <c r="E42" i="29"/>
  <c r="D42" i="29"/>
  <c r="E41" i="29"/>
  <c r="D41" i="29"/>
  <c r="L40" i="29"/>
  <c r="E40" i="29"/>
  <c r="D40" i="29"/>
  <c r="L39" i="29"/>
  <c r="E39" i="29"/>
  <c r="D39" i="29"/>
  <c r="E38" i="29"/>
  <c r="D38" i="29"/>
  <c r="L37" i="29"/>
  <c r="E37" i="29"/>
  <c r="D37" i="29"/>
  <c r="L36" i="29"/>
  <c r="E36" i="29"/>
  <c r="D36" i="29"/>
  <c r="L35" i="29"/>
  <c r="E35" i="29"/>
  <c r="D35" i="29"/>
  <c r="I35" i="29" s="1"/>
  <c r="L34" i="29"/>
  <c r="E34" i="29"/>
  <c r="D34" i="29"/>
  <c r="E33" i="29"/>
  <c r="D33" i="29"/>
  <c r="L32" i="29"/>
  <c r="E32" i="29"/>
  <c r="D32" i="29"/>
  <c r="L31" i="29"/>
  <c r="E31" i="29"/>
  <c r="D31" i="29"/>
  <c r="E30" i="29"/>
  <c r="D30" i="29"/>
  <c r="L29" i="29"/>
  <c r="E29" i="29"/>
  <c r="D29" i="29"/>
  <c r="L28" i="29"/>
  <c r="E28" i="29"/>
  <c r="D28" i="29"/>
  <c r="L27" i="29"/>
  <c r="I27" i="29"/>
  <c r="E27" i="29"/>
  <c r="D27" i="29"/>
  <c r="L26" i="29"/>
  <c r="E26" i="29"/>
  <c r="D26" i="29"/>
  <c r="E25" i="29"/>
  <c r="D25" i="29"/>
  <c r="L24" i="29"/>
  <c r="E24" i="29"/>
  <c r="D24" i="29"/>
  <c r="L23" i="29"/>
  <c r="E23" i="29"/>
  <c r="D23" i="29"/>
  <c r="E22" i="29"/>
  <c r="D22" i="29"/>
  <c r="E21" i="29"/>
  <c r="D21" i="29"/>
  <c r="L20" i="29"/>
  <c r="E20" i="29"/>
  <c r="D20" i="29"/>
  <c r="L19" i="29"/>
  <c r="E19" i="29"/>
  <c r="D19" i="29"/>
  <c r="H19" i="29" s="1"/>
  <c r="E18" i="29"/>
  <c r="D18" i="29"/>
  <c r="H18" i="29" s="1"/>
  <c r="E17" i="29"/>
  <c r="D17" i="29"/>
  <c r="H17" i="29" s="1"/>
  <c r="L16" i="29"/>
  <c r="E16" i="29"/>
  <c r="D16" i="29"/>
  <c r="L15" i="29"/>
  <c r="E15" i="29"/>
  <c r="D15" i="29"/>
  <c r="E14" i="29"/>
  <c r="D14" i="29"/>
  <c r="E13" i="29"/>
  <c r="D13" i="29"/>
  <c r="L12" i="29"/>
  <c r="E12" i="29"/>
  <c r="D12" i="29"/>
  <c r="L11" i="29"/>
  <c r="E11" i="29"/>
  <c r="D11" i="29"/>
  <c r="I11" i="29" s="1"/>
  <c r="E10" i="29"/>
  <c r="D10" i="29"/>
  <c r="L9" i="29"/>
  <c r="E9" i="29"/>
  <c r="D9" i="29"/>
  <c r="L8" i="29"/>
  <c r="E8" i="29"/>
  <c r="D8" i="29"/>
  <c r="I8" i="29" s="1"/>
  <c r="L7" i="29"/>
  <c r="E7" i="29"/>
  <c r="D7" i="29"/>
  <c r="E6" i="29"/>
  <c r="D6" i="29"/>
  <c r="E5" i="29"/>
  <c r="H5" i="29" s="1"/>
  <c r="D5" i="29"/>
  <c r="L4" i="29"/>
  <c r="E4" i="29"/>
  <c r="D4" i="29"/>
  <c r="L3" i="29"/>
  <c r="E3" i="29"/>
  <c r="D3" i="29"/>
  <c r="L2" i="29"/>
  <c r="E2" i="29"/>
  <c r="D2" i="29"/>
  <c r="H2" i="29" s="1"/>
  <c r="Q100" i="12"/>
  <c r="E9" i="8"/>
  <c r="F72" i="12" l="1"/>
  <c r="E72" i="12"/>
  <c r="K72" i="12"/>
  <c r="N72" i="12"/>
  <c r="L72" i="12"/>
  <c r="J72" i="12"/>
  <c r="I72" i="12"/>
  <c r="M72" i="12"/>
  <c r="C72" i="12"/>
  <c r="K52" i="34"/>
  <c r="D72" i="12"/>
  <c r="H3" i="29"/>
  <c r="H7" i="29"/>
  <c r="I7" i="29" s="1"/>
  <c r="I59" i="29"/>
  <c r="I66" i="29"/>
  <c r="I40" i="29"/>
  <c r="I43" i="29"/>
  <c r="I50" i="29"/>
  <c r="I58" i="29"/>
  <c r="I3" i="29"/>
  <c r="I81" i="29"/>
  <c r="I79" i="29"/>
  <c r="H4" i="29"/>
  <c r="I4" i="29" s="1"/>
  <c r="I20" i="29"/>
  <c r="I24" i="29"/>
  <c r="I34" i="29"/>
  <c r="I44" i="29"/>
  <c r="I70" i="29"/>
  <c r="I82" i="29"/>
  <c r="I14" i="29"/>
  <c r="I29" i="29"/>
  <c r="I78" i="29"/>
  <c r="I28" i="29"/>
  <c r="I31" i="29"/>
  <c r="I71" i="29"/>
  <c r="I12" i="29"/>
  <c r="I26" i="29"/>
  <c r="I36" i="29"/>
  <c r="I37" i="29"/>
  <c r="I39" i="29"/>
  <c r="I47" i="29"/>
  <c r="I77" i="29"/>
  <c r="I38" i="29"/>
  <c r="I64" i="29"/>
  <c r="I32" i="29"/>
  <c r="I17" i="29"/>
  <c r="I49" i="29"/>
  <c r="I53" i="29"/>
  <c r="I6" i="29"/>
  <c r="I22" i="29"/>
  <c r="I68" i="29"/>
  <c r="I69" i="29"/>
  <c r="L75" i="29"/>
  <c r="I61" i="29"/>
  <c r="I25" i="29"/>
  <c r="I33" i="29"/>
  <c r="I41" i="29"/>
  <c r="I42" i="29"/>
  <c r="I57" i="29"/>
  <c r="I65" i="29"/>
  <c r="I5" i="29"/>
  <c r="I13" i="29"/>
  <c r="I18" i="29"/>
  <c r="I21" i="29"/>
  <c r="I48" i="29"/>
  <c r="I19" i="29"/>
  <c r="I10" i="29"/>
  <c r="I16" i="29"/>
  <c r="I30" i="29"/>
  <c r="I67" i="29"/>
  <c r="I74" i="29"/>
  <c r="I2" i="29"/>
  <c r="I9" i="29"/>
  <c r="I15" i="29"/>
  <c r="I23" i="29"/>
  <c r="I56" i="29"/>
  <c r="I72" i="29"/>
  <c r="I76" i="29"/>
  <c r="J62" i="29" l="1"/>
  <c r="J3" i="29"/>
  <c r="J7" i="29"/>
  <c r="J11" i="29"/>
  <c r="J15" i="29"/>
  <c r="J19" i="29"/>
  <c r="J23" i="29"/>
  <c r="J27" i="29"/>
  <c r="J31" i="29"/>
  <c r="J35" i="29"/>
  <c r="J39" i="29"/>
  <c r="J43" i="29"/>
  <c r="J47" i="29"/>
  <c r="J51" i="29"/>
  <c r="J55" i="29"/>
  <c r="J59" i="29"/>
  <c r="J63" i="29"/>
  <c r="J67" i="29"/>
  <c r="J71" i="29"/>
  <c r="J75" i="29"/>
  <c r="J79" i="29"/>
  <c r="J83" i="29"/>
  <c r="J6" i="29"/>
  <c r="J18" i="29"/>
  <c r="J26" i="29"/>
  <c r="J34" i="29"/>
  <c r="J42" i="29"/>
  <c r="J50" i="29"/>
  <c r="J58" i="29"/>
  <c r="J70" i="29"/>
  <c r="J78" i="29"/>
  <c r="J4" i="29"/>
  <c r="J8" i="29"/>
  <c r="J12" i="29"/>
  <c r="J16" i="29"/>
  <c r="J20" i="29"/>
  <c r="J24" i="29"/>
  <c r="J28" i="29"/>
  <c r="J32" i="29"/>
  <c r="J36" i="29"/>
  <c r="J40" i="29"/>
  <c r="J44" i="29"/>
  <c r="J48" i="29"/>
  <c r="J52" i="29"/>
  <c r="J56" i="29"/>
  <c r="J60" i="29"/>
  <c r="J64" i="29"/>
  <c r="J68" i="29"/>
  <c r="J72" i="29"/>
  <c r="J76" i="29"/>
  <c r="J80" i="29"/>
  <c r="J2" i="29"/>
  <c r="J5" i="29"/>
  <c r="J9" i="29"/>
  <c r="J13" i="29"/>
  <c r="J17" i="29"/>
  <c r="J21" i="29"/>
  <c r="J25" i="29"/>
  <c r="J29" i="29"/>
  <c r="J33" i="29"/>
  <c r="J37" i="29"/>
  <c r="J41" i="29"/>
  <c r="J45" i="29"/>
  <c r="J49" i="29"/>
  <c r="J53" i="29"/>
  <c r="J57" i="29"/>
  <c r="J61" i="29"/>
  <c r="J65" i="29"/>
  <c r="J69" i="29"/>
  <c r="J73" i="29"/>
  <c r="J77" i="29"/>
  <c r="J81" i="29"/>
  <c r="J10" i="29"/>
  <c r="J14" i="29"/>
  <c r="J22" i="29"/>
  <c r="J30" i="29"/>
  <c r="J38" i="29"/>
  <c r="J46" i="29"/>
  <c r="J54" i="29"/>
  <c r="J66" i="29"/>
  <c r="J74" i="29"/>
  <c r="J82" i="29"/>
  <c r="G72" i="12" l="1"/>
  <c r="O72" i="12" s="1"/>
  <c r="V72" i="12" s="1"/>
  <c r="D16" i="28"/>
  <c r="D13" i="28"/>
  <c r="P72" i="12" l="1"/>
  <c r="D12" i="28"/>
  <c r="D10" i="28"/>
  <c r="D9" i="28"/>
  <c r="E41" i="28"/>
  <c r="H40" i="28"/>
  <c r="E40" i="28"/>
  <c r="H39" i="28"/>
  <c r="E39" i="28"/>
  <c r="H38" i="28"/>
  <c r="E38" i="28"/>
  <c r="H37" i="28"/>
  <c r="E37" i="28"/>
  <c r="H36" i="28"/>
  <c r="E36" i="28"/>
  <c r="H35" i="28"/>
  <c r="E35" i="28"/>
  <c r="H34" i="28"/>
  <c r="E34" i="28"/>
  <c r="H33" i="28"/>
  <c r="E33" i="28"/>
  <c r="H32" i="28"/>
  <c r="E32" i="28"/>
  <c r="H31" i="28"/>
  <c r="E31" i="28"/>
  <c r="H30" i="28"/>
  <c r="E30" i="28"/>
  <c r="H29" i="28"/>
  <c r="E29" i="28"/>
  <c r="H28" i="28"/>
  <c r="E28" i="28"/>
  <c r="H27" i="28"/>
  <c r="E27" i="28"/>
  <c r="H26" i="28"/>
  <c r="E26" i="28"/>
  <c r="H25" i="28"/>
  <c r="E25" i="28"/>
  <c r="H24" i="28"/>
  <c r="E24" i="28"/>
  <c r="H23" i="28"/>
  <c r="E23" i="28"/>
  <c r="H22" i="28"/>
  <c r="E22" i="28"/>
  <c r="H21" i="28"/>
  <c r="E21" i="28"/>
  <c r="H20" i="28"/>
  <c r="E20" i="28"/>
  <c r="H19" i="28"/>
  <c r="E19" i="28"/>
  <c r="H18" i="28"/>
  <c r="E18" i="28"/>
  <c r="H17" i="28"/>
  <c r="E17" i="28"/>
  <c r="H16" i="28"/>
  <c r="E16" i="28"/>
  <c r="H15" i="28"/>
  <c r="E15" i="28"/>
  <c r="H14" i="28"/>
  <c r="E14" i="28"/>
  <c r="H13" i="28"/>
  <c r="E13" i="28"/>
  <c r="H12" i="28"/>
  <c r="E12" i="28"/>
  <c r="H11" i="28"/>
  <c r="E11" i="28"/>
  <c r="H10" i="28"/>
  <c r="E10" i="28"/>
  <c r="H9" i="28"/>
  <c r="E9" i="28"/>
  <c r="H8" i="28"/>
  <c r="E8" i="28"/>
  <c r="H7" i="28"/>
  <c r="E7" i="28"/>
  <c r="H6" i="28"/>
  <c r="E6" i="28"/>
  <c r="H5" i="28"/>
  <c r="E5" i="28"/>
  <c r="H4" i="28"/>
  <c r="E4" i="28"/>
  <c r="H3" i="28"/>
  <c r="E3" i="28"/>
  <c r="H2" i="28"/>
  <c r="E2" i="28"/>
  <c r="F3" i="28" l="1"/>
  <c r="F5" i="28"/>
  <c r="F7" i="28"/>
  <c r="F9" i="28"/>
  <c r="F12" i="28"/>
  <c r="F14" i="28"/>
  <c r="F16" i="28"/>
  <c r="F18" i="28"/>
  <c r="F20" i="28"/>
  <c r="F22" i="28"/>
  <c r="F24" i="28"/>
  <c r="F26" i="28"/>
  <c r="F28" i="28"/>
  <c r="F30" i="28"/>
  <c r="F32" i="28"/>
  <c r="F34" i="28"/>
  <c r="F36" i="28"/>
  <c r="F38" i="28"/>
  <c r="F40" i="28"/>
  <c r="F11" i="28"/>
  <c r="F2" i="28"/>
  <c r="F4" i="28"/>
  <c r="F6" i="28"/>
  <c r="F8" i="28"/>
  <c r="F13" i="28"/>
  <c r="F15" i="28"/>
  <c r="F17" i="28"/>
  <c r="F19" i="28"/>
  <c r="F21" i="28"/>
  <c r="F23" i="28"/>
  <c r="F25" i="28"/>
  <c r="F27" i="28"/>
  <c r="F29" i="28"/>
  <c r="F31" i="28"/>
  <c r="F33" i="28"/>
  <c r="F35" i="28"/>
  <c r="F37" i="28"/>
  <c r="F39" i="28"/>
  <c r="F41" i="28"/>
  <c r="F10" i="28"/>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11" i="27"/>
  <c r="D10" i="27"/>
  <c r="D9" i="27"/>
  <c r="D8" i="27"/>
  <c r="D7" i="27"/>
  <c r="D6" i="27"/>
  <c r="D5" i="27"/>
  <c r="H5" i="27" s="1"/>
  <c r="D4" i="27"/>
  <c r="C39" i="27"/>
  <c r="B39" i="27"/>
  <c r="F42" i="28" l="1"/>
  <c r="F39" i="27"/>
  <c r="D39" i="27" l="1"/>
  <c r="F79" i="25" l="1"/>
  <c r="G45" i="25"/>
  <c r="G28" i="25"/>
  <c r="H16" i="25"/>
  <c r="H12" i="25"/>
  <c r="H11" i="25"/>
  <c r="G10" i="25"/>
  <c r="G9" i="25"/>
  <c r="H9" i="25"/>
  <c r="D4" i="24" l="1"/>
  <c r="D5" i="24"/>
  <c r="D6" i="24"/>
  <c r="D7" i="24"/>
  <c r="D8" i="24"/>
  <c r="D9" i="24"/>
  <c r="D10" i="24"/>
  <c r="D11" i="24"/>
  <c r="D12" i="24"/>
  <c r="D13" i="24"/>
  <c r="D14" i="24"/>
  <c r="D15" i="24"/>
  <c r="D16" i="24"/>
  <c r="D17" i="24"/>
  <c r="D18" i="24"/>
  <c r="D12" i="26" l="1"/>
  <c r="D16" i="26" l="1"/>
  <c r="D11" i="26"/>
  <c r="D9" i="26"/>
  <c r="B71" i="12" l="1"/>
  <c r="B68" i="12"/>
  <c r="H68" i="12" l="1"/>
  <c r="K52" i="30"/>
  <c r="H71" i="12"/>
  <c r="K55" i="30"/>
  <c r="G71" i="12"/>
  <c r="F71" i="12"/>
  <c r="E71" i="12"/>
  <c r="G68" i="12"/>
  <c r="E68" i="12"/>
  <c r="F68" i="12"/>
  <c r="K51" i="34"/>
  <c r="K71" i="12"/>
  <c r="J71" i="12"/>
  <c r="M71" i="12"/>
  <c r="L71" i="12"/>
  <c r="I71" i="12"/>
  <c r="N71" i="12"/>
  <c r="K48" i="34"/>
  <c r="K68" i="12"/>
  <c r="L68" i="12"/>
  <c r="N68" i="12"/>
  <c r="J68" i="12"/>
  <c r="I68" i="12"/>
  <c r="M68" i="12"/>
  <c r="C68" i="12"/>
  <c r="C71" i="12"/>
  <c r="D71" i="12"/>
  <c r="D68" i="12"/>
  <c r="D22" i="8"/>
  <c r="D23" i="8"/>
  <c r="D24" i="8"/>
  <c r="D25" i="8"/>
  <c r="D21" i="8"/>
  <c r="O71" i="12" l="1"/>
  <c r="V71" i="12" s="1"/>
  <c r="O68" i="12"/>
  <c r="V68" i="12" s="1"/>
  <c r="P68" i="12"/>
  <c r="P71" i="12"/>
  <c r="E42" i="26"/>
  <c r="E41" i="26"/>
  <c r="H40" i="26"/>
  <c r="E40" i="26"/>
  <c r="H39" i="26"/>
  <c r="E39" i="26"/>
  <c r="H38" i="26"/>
  <c r="E38" i="26"/>
  <c r="H37" i="26"/>
  <c r="E37" i="26"/>
  <c r="H36" i="26"/>
  <c r="E36" i="26"/>
  <c r="H35" i="26"/>
  <c r="E35" i="26"/>
  <c r="H34" i="26"/>
  <c r="E34" i="26"/>
  <c r="H33" i="26"/>
  <c r="E33" i="26"/>
  <c r="H32" i="26"/>
  <c r="E32" i="26"/>
  <c r="H31" i="26"/>
  <c r="E31" i="26"/>
  <c r="H30" i="26"/>
  <c r="E30" i="26"/>
  <c r="H29" i="26"/>
  <c r="E29" i="26"/>
  <c r="H28" i="26"/>
  <c r="E28" i="26"/>
  <c r="H27" i="26"/>
  <c r="E27" i="26"/>
  <c r="H26" i="26"/>
  <c r="E26" i="26"/>
  <c r="H25" i="26"/>
  <c r="E25" i="26"/>
  <c r="H24" i="26"/>
  <c r="E24" i="26"/>
  <c r="H23" i="26"/>
  <c r="E23" i="26"/>
  <c r="H22" i="26"/>
  <c r="E22" i="26"/>
  <c r="H21" i="26"/>
  <c r="E21" i="26"/>
  <c r="H20" i="26"/>
  <c r="E20" i="26"/>
  <c r="H19" i="26"/>
  <c r="E19" i="26"/>
  <c r="H18" i="26"/>
  <c r="E18" i="26"/>
  <c r="H17" i="26"/>
  <c r="E17" i="26"/>
  <c r="H16" i="26"/>
  <c r="E16" i="26"/>
  <c r="H15" i="26"/>
  <c r="E15" i="26"/>
  <c r="H14" i="26"/>
  <c r="E14" i="26"/>
  <c r="H13" i="26"/>
  <c r="E13" i="26"/>
  <c r="H12" i="26"/>
  <c r="E12" i="26"/>
  <c r="H11" i="26"/>
  <c r="E11" i="26"/>
  <c r="H10" i="26"/>
  <c r="E10" i="26"/>
  <c r="H9" i="26"/>
  <c r="E9" i="26"/>
  <c r="H8" i="26"/>
  <c r="E8" i="26"/>
  <c r="H7" i="26"/>
  <c r="E7" i="26"/>
  <c r="H6" i="26"/>
  <c r="E6" i="26"/>
  <c r="H5" i="26"/>
  <c r="E5" i="26"/>
  <c r="H4" i="26"/>
  <c r="E4" i="26"/>
  <c r="H3" i="26"/>
  <c r="E3" i="26"/>
  <c r="H2" i="26"/>
  <c r="E2" i="26"/>
  <c r="L80" i="25"/>
  <c r="E80" i="25"/>
  <c r="D80" i="25"/>
  <c r="L79" i="25"/>
  <c r="E79" i="25"/>
  <c r="D79" i="25"/>
  <c r="L78" i="25"/>
  <c r="E78" i="25"/>
  <c r="D78" i="25"/>
  <c r="L77" i="25"/>
  <c r="E77" i="25"/>
  <c r="D77" i="25"/>
  <c r="L76" i="25"/>
  <c r="E76" i="25"/>
  <c r="D76" i="25"/>
  <c r="L75" i="25"/>
  <c r="E75" i="25"/>
  <c r="D75" i="25"/>
  <c r="L74" i="25"/>
  <c r="E74" i="25"/>
  <c r="D74" i="25"/>
  <c r="L73" i="25"/>
  <c r="E73" i="25"/>
  <c r="D73" i="25"/>
  <c r="L72" i="25"/>
  <c r="E72" i="25"/>
  <c r="D72" i="25"/>
  <c r="L71" i="25"/>
  <c r="E71" i="25"/>
  <c r="D71" i="25"/>
  <c r="L70" i="25"/>
  <c r="E70" i="25"/>
  <c r="D70" i="25"/>
  <c r="I70" i="25" s="1"/>
  <c r="L69" i="25"/>
  <c r="E69" i="25"/>
  <c r="D69" i="25"/>
  <c r="L68" i="25"/>
  <c r="E68" i="25"/>
  <c r="D68" i="25"/>
  <c r="L67" i="25"/>
  <c r="E67" i="25"/>
  <c r="D67" i="25"/>
  <c r="L66" i="25"/>
  <c r="E66" i="25"/>
  <c r="D66" i="25"/>
  <c r="L65" i="25"/>
  <c r="E65" i="25"/>
  <c r="D65" i="25"/>
  <c r="L64" i="25"/>
  <c r="E64" i="25"/>
  <c r="D64" i="25"/>
  <c r="L63" i="25"/>
  <c r="E63" i="25"/>
  <c r="D63" i="25"/>
  <c r="L62" i="25"/>
  <c r="E62" i="25"/>
  <c r="D62" i="25"/>
  <c r="L61" i="25"/>
  <c r="E61" i="25"/>
  <c r="D61" i="25"/>
  <c r="L60" i="25"/>
  <c r="E60" i="25"/>
  <c r="D60" i="25"/>
  <c r="I60" i="25" s="1"/>
  <c r="L59" i="25"/>
  <c r="E59" i="25"/>
  <c r="D59" i="25"/>
  <c r="L58" i="25"/>
  <c r="E58" i="25"/>
  <c r="D58" i="25"/>
  <c r="L57" i="25"/>
  <c r="E57" i="25"/>
  <c r="D57" i="25"/>
  <c r="L56" i="25"/>
  <c r="E56" i="25"/>
  <c r="D56" i="25"/>
  <c r="L55" i="25"/>
  <c r="E55" i="25"/>
  <c r="D55" i="25"/>
  <c r="L54" i="25"/>
  <c r="I54" i="25"/>
  <c r="E54" i="25"/>
  <c r="D54" i="25"/>
  <c r="L53" i="25"/>
  <c r="I53" i="25"/>
  <c r="E53" i="25"/>
  <c r="D53" i="25"/>
  <c r="L52" i="25"/>
  <c r="I52" i="25"/>
  <c r="E52" i="25"/>
  <c r="D52" i="25"/>
  <c r="L51" i="25"/>
  <c r="E51" i="25"/>
  <c r="D51" i="25"/>
  <c r="L50" i="25"/>
  <c r="E50" i="25"/>
  <c r="D50" i="25"/>
  <c r="I50" i="25" s="1"/>
  <c r="L49" i="25"/>
  <c r="I49" i="25"/>
  <c r="E49" i="25"/>
  <c r="D49" i="25"/>
  <c r="L48" i="25"/>
  <c r="E48" i="25"/>
  <c r="D48" i="25"/>
  <c r="L47" i="25"/>
  <c r="E47" i="25"/>
  <c r="D47" i="25"/>
  <c r="L46" i="25"/>
  <c r="E46" i="25"/>
  <c r="D46" i="25"/>
  <c r="L45" i="25"/>
  <c r="E45" i="25"/>
  <c r="D45" i="25"/>
  <c r="L44" i="25"/>
  <c r="E44" i="25"/>
  <c r="D44" i="25"/>
  <c r="I44" i="25" s="1"/>
  <c r="L43" i="25"/>
  <c r="E43" i="25"/>
  <c r="D43" i="25"/>
  <c r="L42" i="25"/>
  <c r="E42" i="25"/>
  <c r="D42" i="25"/>
  <c r="L41" i="25"/>
  <c r="E41" i="25"/>
  <c r="D41" i="25"/>
  <c r="L40" i="25"/>
  <c r="E40" i="25"/>
  <c r="D40" i="25"/>
  <c r="L39" i="25"/>
  <c r="E39" i="25"/>
  <c r="D39" i="25"/>
  <c r="L38" i="25"/>
  <c r="E38" i="25"/>
  <c r="D38" i="25"/>
  <c r="L37" i="25"/>
  <c r="E37" i="25"/>
  <c r="D37" i="25"/>
  <c r="L36" i="25"/>
  <c r="E36" i="25"/>
  <c r="D36" i="25"/>
  <c r="L35" i="25"/>
  <c r="E35" i="25"/>
  <c r="D35" i="25"/>
  <c r="L34" i="25"/>
  <c r="E34" i="25"/>
  <c r="D34" i="25"/>
  <c r="L33" i="25"/>
  <c r="E33" i="25"/>
  <c r="D33" i="25"/>
  <c r="L32" i="25"/>
  <c r="E32" i="25"/>
  <c r="D32" i="25"/>
  <c r="L31" i="25"/>
  <c r="E31" i="25"/>
  <c r="D31" i="25"/>
  <c r="L30" i="25"/>
  <c r="E30" i="25"/>
  <c r="D30" i="25"/>
  <c r="L29" i="25"/>
  <c r="E29" i="25"/>
  <c r="D29" i="25"/>
  <c r="L28" i="25"/>
  <c r="E28" i="25"/>
  <c r="D28" i="25"/>
  <c r="L27" i="25"/>
  <c r="E27" i="25"/>
  <c r="D27" i="25"/>
  <c r="I27" i="25" s="1"/>
  <c r="L26" i="25"/>
  <c r="E26" i="25"/>
  <c r="D26" i="25"/>
  <c r="L25" i="25"/>
  <c r="E25" i="25"/>
  <c r="D25" i="25"/>
  <c r="L24" i="25"/>
  <c r="E24" i="25"/>
  <c r="D24" i="25"/>
  <c r="L23" i="25"/>
  <c r="E23" i="25"/>
  <c r="D23" i="25"/>
  <c r="L22" i="25"/>
  <c r="E22" i="25"/>
  <c r="D22" i="25"/>
  <c r="L21" i="25"/>
  <c r="E21" i="25"/>
  <c r="D21" i="25"/>
  <c r="L20" i="25"/>
  <c r="E20" i="25"/>
  <c r="D20" i="25"/>
  <c r="L19" i="25"/>
  <c r="E19" i="25"/>
  <c r="D19" i="25"/>
  <c r="L18" i="25"/>
  <c r="E18" i="25"/>
  <c r="D18" i="25"/>
  <c r="L17" i="25"/>
  <c r="E17" i="25"/>
  <c r="D17" i="25"/>
  <c r="L16" i="25"/>
  <c r="E16" i="25"/>
  <c r="D16" i="25"/>
  <c r="L15" i="25"/>
  <c r="E15" i="25"/>
  <c r="D15" i="25"/>
  <c r="L14" i="25"/>
  <c r="E14" i="25"/>
  <c r="D14" i="25"/>
  <c r="L13" i="25"/>
  <c r="E13" i="25"/>
  <c r="D13" i="25"/>
  <c r="L12" i="25"/>
  <c r="E12" i="25"/>
  <c r="D12" i="25"/>
  <c r="L11" i="25"/>
  <c r="E11" i="25"/>
  <c r="D11" i="25"/>
  <c r="L10" i="25"/>
  <c r="E10" i="25"/>
  <c r="D10" i="25"/>
  <c r="L9" i="25"/>
  <c r="E9" i="25"/>
  <c r="D9" i="25"/>
  <c r="L8" i="25"/>
  <c r="E8" i="25"/>
  <c r="D8" i="25"/>
  <c r="L7" i="25"/>
  <c r="E7" i="25"/>
  <c r="D7" i="25"/>
  <c r="L6" i="25"/>
  <c r="E6" i="25"/>
  <c r="D6" i="25"/>
  <c r="L5" i="25"/>
  <c r="E5" i="25"/>
  <c r="D5" i="25"/>
  <c r="L4" i="25"/>
  <c r="E4" i="25"/>
  <c r="D4" i="25"/>
  <c r="L3" i="25"/>
  <c r="E3" i="25"/>
  <c r="D3" i="25"/>
  <c r="L2" i="25"/>
  <c r="E2" i="25"/>
  <c r="D2" i="25"/>
  <c r="H7" i="25" l="1"/>
  <c r="H19" i="25"/>
  <c r="H10" i="25"/>
  <c r="I14" i="25"/>
  <c r="H18" i="25"/>
  <c r="I26" i="25"/>
  <c r="I58" i="25"/>
  <c r="I62" i="25"/>
  <c r="I66" i="25"/>
  <c r="I74" i="25"/>
  <c r="I29" i="25"/>
  <c r="I32" i="25"/>
  <c r="I12" i="25"/>
  <c r="I72" i="25"/>
  <c r="I46" i="25"/>
  <c r="I55" i="25"/>
  <c r="H2" i="25"/>
  <c r="I2" i="25" s="1"/>
  <c r="I9" i="25"/>
  <c r="H17" i="25"/>
  <c r="I17" i="25" s="1"/>
  <c r="I21" i="25"/>
  <c r="I61" i="25"/>
  <c r="I36" i="25"/>
  <c r="I40" i="25"/>
  <c r="I71" i="25"/>
  <c r="I75" i="25"/>
  <c r="I79" i="25"/>
  <c r="I34" i="25"/>
  <c r="I28" i="25"/>
  <c r="I31" i="25"/>
  <c r="I35" i="25"/>
  <c r="I39" i="25"/>
  <c r="I43" i="25"/>
  <c r="I47" i="25"/>
  <c r="I6" i="25"/>
  <c r="I67" i="25"/>
  <c r="H4" i="25"/>
  <c r="I4" i="25" s="1"/>
  <c r="I16" i="25"/>
  <c r="I33" i="25"/>
  <c r="I37" i="25"/>
  <c r="I45" i="25"/>
  <c r="I59" i="25"/>
  <c r="I64" i="25"/>
  <c r="I63" i="25"/>
  <c r="H5" i="25"/>
  <c r="I5" i="25" s="1"/>
  <c r="I8" i="25"/>
  <c r="I10" i="25"/>
  <c r="I13" i="25"/>
  <c r="I30" i="25"/>
  <c r="I38" i="25"/>
  <c r="I56" i="25"/>
  <c r="I57" i="25"/>
  <c r="I73" i="25"/>
  <c r="F2" i="26"/>
  <c r="I19" i="25"/>
  <c r="I22" i="25"/>
  <c r="I76" i="25"/>
  <c r="I15" i="25"/>
  <c r="I25" i="25"/>
  <c r="I51" i="25"/>
  <c r="I65" i="25"/>
  <c r="I7" i="25"/>
  <c r="I20" i="25"/>
  <c r="I41" i="25"/>
  <c r="I42" i="25"/>
  <c r="I48" i="25"/>
  <c r="I68" i="25"/>
  <c r="I69" i="25"/>
  <c r="I77" i="25"/>
  <c r="I78" i="25"/>
  <c r="F4" i="26"/>
  <c r="F6" i="26"/>
  <c r="F8" i="26"/>
  <c r="F10" i="26"/>
  <c r="F13" i="26"/>
  <c r="F15" i="26"/>
  <c r="F17" i="26"/>
  <c r="F19" i="26"/>
  <c r="F21" i="26"/>
  <c r="F23" i="26"/>
  <c r="F25" i="26"/>
  <c r="F27" i="26"/>
  <c r="F29" i="26"/>
  <c r="F31" i="26"/>
  <c r="F33" i="26"/>
  <c r="F35" i="26"/>
  <c r="F37" i="26"/>
  <c r="F39" i="26"/>
  <c r="F41" i="26"/>
  <c r="F3" i="26"/>
  <c r="F5" i="26"/>
  <c r="F7" i="26"/>
  <c r="F9" i="26"/>
  <c r="F12" i="26"/>
  <c r="F42" i="26"/>
  <c r="F11" i="26"/>
  <c r="F14" i="26"/>
  <c r="F16" i="26"/>
  <c r="F18" i="26"/>
  <c r="F20" i="26"/>
  <c r="F22" i="26"/>
  <c r="F24" i="26"/>
  <c r="F26" i="26"/>
  <c r="F28" i="26"/>
  <c r="F30" i="26"/>
  <c r="F32" i="26"/>
  <c r="F34" i="26"/>
  <c r="F36" i="26"/>
  <c r="F38" i="26"/>
  <c r="F40" i="26"/>
  <c r="I18" i="25"/>
  <c r="H3" i="25"/>
  <c r="I3" i="25" s="1"/>
  <c r="I11" i="25"/>
  <c r="I23" i="25"/>
  <c r="I24" i="25"/>
  <c r="F43" i="26" l="1"/>
  <c r="J3" i="25"/>
  <c r="J17" i="25"/>
  <c r="J29" i="25"/>
  <c r="J69" i="25"/>
  <c r="J12" i="25"/>
  <c r="J38" i="25"/>
  <c r="J57" i="25"/>
  <c r="J72" i="25"/>
  <c r="J9" i="25"/>
  <c r="J35" i="25"/>
  <c r="J79" i="25"/>
  <c r="J27" i="25"/>
  <c r="J42" i="25"/>
  <c r="J65" i="25"/>
  <c r="J36" i="25"/>
  <c r="J59" i="25"/>
  <c r="J24" i="25"/>
  <c r="J18" i="25"/>
  <c r="J23" i="25"/>
  <c r="J52" i="25"/>
  <c r="J77" i="25"/>
  <c r="J70" i="25"/>
  <c r="J62" i="25"/>
  <c r="J54" i="25"/>
  <c r="J50" i="25"/>
  <c r="J2" i="25"/>
  <c r="J75" i="25"/>
  <c r="J68" i="25"/>
  <c r="J60" i="25"/>
  <c r="J48" i="25"/>
  <c r="J21" i="25"/>
  <c r="J80" i="25"/>
  <c r="J53" i="25"/>
  <c r="J16" i="25"/>
  <c r="J64" i="25"/>
  <c r="J41" i="25"/>
  <c r="J15" i="25"/>
  <c r="J76" i="25"/>
  <c r="J30" i="25"/>
  <c r="J8" i="25"/>
  <c r="J56" i="25"/>
  <c r="J32" i="25"/>
  <c r="J10" i="25"/>
  <c r="J40" i="25"/>
  <c r="J25" i="25"/>
  <c r="J14" i="25"/>
  <c r="J71" i="25"/>
  <c r="J11" i="25"/>
  <c r="J61" i="25"/>
  <c r="J74" i="25"/>
  <c r="J46" i="25"/>
  <c r="J58" i="25"/>
  <c r="J37" i="25"/>
  <c r="J13" i="25"/>
  <c r="J45" i="25"/>
  <c r="J22" i="25"/>
  <c r="J4" i="25"/>
  <c r="J66" i="25"/>
  <c r="J47" i="25"/>
  <c r="J28" i="25"/>
  <c r="J6" i="25"/>
  <c r="J34" i="25"/>
  <c r="J55" i="25"/>
  <c r="J5" i="25"/>
  <c r="J49" i="25"/>
  <c r="J67" i="25"/>
  <c r="J44" i="25"/>
  <c r="J73" i="25"/>
  <c r="J51" i="25"/>
  <c r="J31" i="25"/>
  <c r="J7" i="25"/>
  <c r="J39" i="25"/>
  <c r="J19" i="25"/>
  <c r="J63" i="25"/>
  <c r="J43" i="25"/>
  <c r="J26" i="25"/>
  <c r="J78" i="25"/>
  <c r="J33" i="25"/>
  <c r="J20" i="25"/>
  <c r="D19" i="24"/>
  <c r="D42" i="23" l="1"/>
  <c r="C7" i="24" l="1"/>
  <c r="B7" i="24" s="1"/>
  <c r="C11" i="24"/>
  <c r="B11" i="24" s="1"/>
  <c r="C15" i="24"/>
  <c r="B15" i="24" s="1"/>
  <c r="C3" i="24"/>
  <c r="B3" i="24" s="1"/>
  <c r="C4" i="24"/>
  <c r="B4" i="24" s="1"/>
  <c r="C8" i="24"/>
  <c r="B8" i="24" s="1"/>
  <c r="C12" i="24"/>
  <c r="B12" i="24" s="1"/>
  <c r="C16" i="24"/>
  <c r="B16" i="24" s="1"/>
  <c r="C5" i="24"/>
  <c r="C9" i="24"/>
  <c r="B9" i="24" s="1"/>
  <c r="C13" i="24"/>
  <c r="B13" i="24" s="1"/>
  <c r="C17" i="24"/>
  <c r="B17" i="24" s="1"/>
  <c r="C6" i="24"/>
  <c r="B6" i="24" s="1"/>
  <c r="C10" i="24"/>
  <c r="B10" i="24" s="1"/>
  <c r="C14" i="24"/>
  <c r="B14" i="24" s="1"/>
  <c r="C18" i="24"/>
  <c r="B18" i="24" s="1"/>
  <c r="C19" i="24" l="1"/>
  <c r="B5" i="24"/>
  <c r="B19" i="24" s="1"/>
  <c r="C20" i="24" l="1"/>
  <c r="C21" i="24"/>
  <c r="D20" i="24" l="1"/>
  <c r="C23" i="24"/>
  <c r="G52" i="18"/>
  <c r="G32" i="18"/>
  <c r="H18" i="18"/>
  <c r="B66" i="12" l="1"/>
  <c r="B67" i="12"/>
  <c r="B69" i="12"/>
  <c r="B70" i="12"/>
  <c r="B62" i="12"/>
  <c r="B55" i="18"/>
  <c r="D55" i="18" s="1"/>
  <c r="I55" i="18" s="1"/>
  <c r="L55" i="18"/>
  <c r="E55" i="18"/>
  <c r="F82" i="21"/>
  <c r="G50" i="21"/>
  <c r="G29" i="21"/>
  <c r="H16" i="21"/>
  <c r="G9" i="21"/>
  <c r="H12" i="21"/>
  <c r="H11" i="21"/>
  <c r="H10" i="21"/>
  <c r="H9" i="21"/>
  <c r="H70" i="12" l="1"/>
  <c r="K54" i="30"/>
  <c r="H69" i="12"/>
  <c r="K53" i="30"/>
  <c r="H67" i="12"/>
  <c r="K51" i="30"/>
  <c r="H62" i="12"/>
  <c r="K48" i="30"/>
  <c r="H66" i="12"/>
  <c r="K50" i="30"/>
  <c r="G62" i="12"/>
  <c r="F62" i="12"/>
  <c r="G70" i="12"/>
  <c r="F70" i="12"/>
  <c r="E70" i="12"/>
  <c r="G69" i="12"/>
  <c r="F69" i="12"/>
  <c r="E69" i="12"/>
  <c r="G67" i="12"/>
  <c r="F67" i="12"/>
  <c r="E67" i="12"/>
  <c r="G66" i="12"/>
  <c r="F66" i="12"/>
  <c r="E66" i="12"/>
  <c r="N62" i="12"/>
  <c r="K62" i="12"/>
  <c r="M62" i="12"/>
  <c r="L62" i="12"/>
  <c r="I62" i="12"/>
  <c r="J62" i="12"/>
  <c r="K46" i="34"/>
  <c r="N66" i="12"/>
  <c r="K66" i="12"/>
  <c r="M66" i="12"/>
  <c r="L66" i="12"/>
  <c r="J66" i="12"/>
  <c r="I66" i="12"/>
  <c r="K50" i="34"/>
  <c r="N70" i="12"/>
  <c r="K70" i="12"/>
  <c r="M70" i="12"/>
  <c r="I70" i="12"/>
  <c r="L70" i="12"/>
  <c r="J70" i="12"/>
  <c r="K49" i="34"/>
  <c r="K69" i="12"/>
  <c r="M69" i="12"/>
  <c r="L69" i="12"/>
  <c r="J69" i="12"/>
  <c r="N69" i="12"/>
  <c r="I69" i="12"/>
  <c r="K47" i="34"/>
  <c r="K67" i="12"/>
  <c r="N67" i="12"/>
  <c r="J67" i="12"/>
  <c r="M67" i="12"/>
  <c r="I67" i="12"/>
  <c r="L67" i="12"/>
  <c r="C70" i="12"/>
  <c r="C69" i="12"/>
  <c r="C67" i="12"/>
  <c r="C66" i="12"/>
  <c r="K54" i="29"/>
  <c r="K51" i="29"/>
  <c r="K53" i="29"/>
  <c r="K52" i="29"/>
  <c r="K50" i="29"/>
  <c r="K54" i="25"/>
  <c r="K53" i="25"/>
  <c r="K51" i="25"/>
  <c r="K52" i="25"/>
  <c r="D70" i="12"/>
  <c r="D69" i="12"/>
  <c r="D67" i="12"/>
  <c r="D66" i="12"/>
  <c r="D62" i="12"/>
  <c r="C62" i="12"/>
  <c r="K55" i="18"/>
  <c r="L2" i="21"/>
  <c r="O70" i="12" l="1"/>
  <c r="V70" i="12" s="1"/>
  <c r="O69" i="12"/>
  <c r="V69" i="12" s="1"/>
  <c r="O62" i="12"/>
  <c r="V62" i="12" s="1"/>
  <c r="O67" i="12"/>
  <c r="V67" i="12" s="1"/>
  <c r="O66" i="12"/>
  <c r="V66" i="12" s="1"/>
  <c r="P70" i="12"/>
  <c r="P67" i="12"/>
  <c r="P69" i="12"/>
  <c r="P66" i="12"/>
  <c r="D80" i="21"/>
  <c r="E80" i="21"/>
  <c r="L80" i="21"/>
  <c r="D81" i="21"/>
  <c r="E81" i="21"/>
  <c r="L81" i="21"/>
  <c r="D82" i="21"/>
  <c r="E82" i="21"/>
  <c r="L82" i="21"/>
  <c r="D83" i="21"/>
  <c r="E83" i="21"/>
  <c r="L83" i="21"/>
  <c r="I82" i="21" l="1"/>
  <c r="I80" i="21"/>
  <c r="I81" i="21"/>
  <c r="D16" i="22"/>
  <c r="D13" i="22"/>
  <c r="D10" i="22"/>
  <c r="D9" i="22"/>
  <c r="D12" i="22"/>
  <c r="M21" i="17"/>
  <c r="M22" i="17" s="1"/>
  <c r="E42" i="22" l="1"/>
  <c r="E41" i="22"/>
  <c r="H40" i="22"/>
  <c r="E40" i="22"/>
  <c r="H39" i="22"/>
  <c r="E39" i="22"/>
  <c r="H38" i="22"/>
  <c r="E38" i="22"/>
  <c r="H37" i="22"/>
  <c r="E37" i="22"/>
  <c r="H36" i="22"/>
  <c r="E36" i="22"/>
  <c r="H35" i="22"/>
  <c r="E35" i="22"/>
  <c r="H34" i="22"/>
  <c r="E34" i="22"/>
  <c r="H33" i="22"/>
  <c r="E33" i="22"/>
  <c r="H32" i="22"/>
  <c r="E32" i="22"/>
  <c r="H31" i="22"/>
  <c r="E31" i="22"/>
  <c r="H30" i="22"/>
  <c r="E30" i="22"/>
  <c r="H29" i="22"/>
  <c r="E29" i="22"/>
  <c r="H28" i="22"/>
  <c r="E28" i="22"/>
  <c r="H27" i="22"/>
  <c r="E27" i="22"/>
  <c r="H26" i="22"/>
  <c r="E26" i="22"/>
  <c r="H25" i="22"/>
  <c r="E25" i="22"/>
  <c r="H24" i="22"/>
  <c r="E24" i="22"/>
  <c r="H23" i="22"/>
  <c r="E23" i="22"/>
  <c r="H22" i="22"/>
  <c r="E22" i="22"/>
  <c r="H21" i="22"/>
  <c r="E21" i="22"/>
  <c r="H20" i="22"/>
  <c r="E20" i="22"/>
  <c r="H19" i="22"/>
  <c r="E19" i="22"/>
  <c r="H18" i="22"/>
  <c r="E18" i="22"/>
  <c r="H17" i="22"/>
  <c r="E17" i="22"/>
  <c r="H16" i="22"/>
  <c r="E16" i="22"/>
  <c r="H15" i="22"/>
  <c r="E15" i="22"/>
  <c r="H14" i="22"/>
  <c r="E14" i="22"/>
  <c r="H13" i="22"/>
  <c r="E13" i="22"/>
  <c r="H12" i="22"/>
  <c r="E12" i="22"/>
  <c r="H11" i="22"/>
  <c r="E11" i="22"/>
  <c r="H10" i="22"/>
  <c r="E10" i="22"/>
  <c r="H9" i="22"/>
  <c r="E9" i="22"/>
  <c r="H8" i="22"/>
  <c r="E8" i="22"/>
  <c r="H7" i="22"/>
  <c r="E7" i="22"/>
  <c r="H6" i="22"/>
  <c r="E6" i="22"/>
  <c r="H5" i="22"/>
  <c r="E5" i="22"/>
  <c r="H4" i="22"/>
  <c r="E4" i="22"/>
  <c r="H3" i="22"/>
  <c r="E3" i="22"/>
  <c r="H2" i="22"/>
  <c r="E2" i="22"/>
  <c r="L79" i="21"/>
  <c r="E79" i="21"/>
  <c r="D79" i="21"/>
  <c r="L78" i="21"/>
  <c r="E78" i="21"/>
  <c r="D78" i="21"/>
  <c r="L77" i="21"/>
  <c r="E77" i="21"/>
  <c r="D77" i="21"/>
  <c r="L76" i="21"/>
  <c r="E76" i="21"/>
  <c r="D76" i="21"/>
  <c r="L75" i="21"/>
  <c r="E75" i="21"/>
  <c r="D75" i="21"/>
  <c r="L74" i="21"/>
  <c r="E74" i="21"/>
  <c r="D74" i="21"/>
  <c r="L73" i="21"/>
  <c r="E73" i="21"/>
  <c r="I73" i="21" s="1"/>
  <c r="D73" i="21"/>
  <c r="L72" i="21"/>
  <c r="E72" i="21"/>
  <c r="D72" i="21"/>
  <c r="L71" i="21"/>
  <c r="E71" i="21"/>
  <c r="D71" i="21"/>
  <c r="L70" i="21"/>
  <c r="E70" i="21"/>
  <c r="D70" i="21"/>
  <c r="L69" i="21"/>
  <c r="E69" i="21"/>
  <c r="D69" i="21"/>
  <c r="L68" i="21"/>
  <c r="E68" i="21"/>
  <c r="D68" i="21"/>
  <c r="L67" i="21"/>
  <c r="E67" i="21"/>
  <c r="D67" i="21"/>
  <c r="L66" i="21"/>
  <c r="E66" i="21"/>
  <c r="D66" i="21"/>
  <c r="L65" i="21"/>
  <c r="E65" i="21"/>
  <c r="D65" i="21"/>
  <c r="L64" i="21"/>
  <c r="E64" i="21"/>
  <c r="D64" i="21"/>
  <c r="L63" i="21"/>
  <c r="E63" i="21"/>
  <c r="D63" i="21"/>
  <c r="L62" i="21"/>
  <c r="E62" i="21"/>
  <c r="D62" i="21"/>
  <c r="L61" i="21"/>
  <c r="E61" i="21"/>
  <c r="D61" i="21"/>
  <c r="L60" i="21"/>
  <c r="E60" i="21"/>
  <c r="D60" i="21"/>
  <c r="L59" i="21"/>
  <c r="E59" i="21"/>
  <c r="D59" i="21"/>
  <c r="L58" i="21"/>
  <c r="E58" i="21"/>
  <c r="D58" i="21"/>
  <c r="L57" i="21"/>
  <c r="E57" i="21"/>
  <c r="D57" i="21"/>
  <c r="I57" i="21" s="1"/>
  <c r="L56" i="21"/>
  <c r="E56" i="21"/>
  <c r="D56" i="21"/>
  <c r="L55" i="21"/>
  <c r="E55" i="21"/>
  <c r="D55" i="21"/>
  <c r="L54" i="21"/>
  <c r="E54" i="21"/>
  <c r="D54" i="21"/>
  <c r="L53" i="21"/>
  <c r="E53" i="21"/>
  <c r="D53" i="21"/>
  <c r="L52" i="21"/>
  <c r="E52" i="21"/>
  <c r="D52" i="21"/>
  <c r="L51" i="21"/>
  <c r="E51" i="21"/>
  <c r="D51" i="21"/>
  <c r="L50" i="21"/>
  <c r="E50" i="21"/>
  <c r="D50" i="21"/>
  <c r="L49" i="21"/>
  <c r="E49" i="21"/>
  <c r="D49" i="21"/>
  <c r="L48" i="21"/>
  <c r="E48" i="21"/>
  <c r="D48" i="21"/>
  <c r="L47" i="21"/>
  <c r="E47" i="21"/>
  <c r="D47" i="21"/>
  <c r="L46" i="21"/>
  <c r="E46" i="21"/>
  <c r="D46" i="21"/>
  <c r="L45" i="21"/>
  <c r="E45" i="21"/>
  <c r="D45" i="21"/>
  <c r="L44" i="21"/>
  <c r="E44" i="21"/>
  <c r="D44" i="21"/>
  <c r="L43" i="21"/>
  <c r="E43" i="21"/>
  <c r="D43" i="21"/>
  <c r="L42" i="21"/>
  <c r="E42" i="21"/>
  <c r="D42" i="21"/>
  <c r="L41" i="21"/>
  <c r="E41" i="21"/>
  <c r="D41" i="21"/>
  <c r="L40" i="21"/>
  <c r="E40" i="21"/>
  <c r="D40" i="21"/>
  <c r="L39" i="21"/>
  <c r="E39" i="21"/>
  <c r="D39" i="21"/>
  <c r="L38" i="21"/>
  <c r="E38" i="21"/>
  <c r="D38" i="21"/>
  <c r="L37" i="21"/>
  <c r="E37" i="21"/>
  <c r="D37" i="21"/>
  <c r="L36" i="21"/>
  <c r="E36" i="21"/>
  <c r="D36" i="21"/>
  <c r="L35" i="21"/>
  <c r="E35" i="21"/>
  <c r="D35" i="21"/>
  <c r="L34" i="21"/>
  <c r="E34" i="21"/>
  <c r="D34" i="21"/>
  <c r="L33" i="21"/>
  <c r="E33" i="21"/>
  <c r="D33" i="21"/>
  <c r="L32" i="21"/>
  <c r="E32" i="21"/>
  <c r="D32" i="21"/>
  <c r="L31" i="21"/>
  <c r="E31" i="21"/>
  <c r="D31" i="21"/>
  <c r="G31" i="21" s="1"/>
  <c r="L30" i="21"/>
  <c r="E30" i="21"/>
  <c r="D30" i="21"/>
  <c r="L29" i="21"/>
  <c r="E29" i="21"/>
  <c r="D29" i="21"/>
  <c r="L28" i="21"/>
  <c r="E28" i="21"/>
  <c r="D28" i="21"/>
  <c r="L27" i="21"/>
  <c r="E27" i="21"/>
  <c r="D27" i="21"/>
  <c r="G27" i="21" s="1"/>
  <c r="L26" i="21"/>
  <c r="E26" i="21"/>
  <c r="D26" i="21"/>
  <c r="G26" i="21" s="1"/>
  <c r="L25" i="21"/>
  <c r="E25" i="21"/>
  <c r="D25" i="21"/>
  <c r="G25" i="21" s="1"/>
  <c r="L24" i="21"/>
  <c r="E24" i="21"/>
  <c r="D24" i="21"/>
  <c r="L23" i="21"/>
  <c r="E23" i="21"/>
  <c r="D23" i="21"/>
  <c r="L22" i="21"/>
  <c r="E22" i="21"/>
  <c r="D22" i="21"/>
  <c r="L21" i="21"/>
  <c r="E21" i="21"/>
  <c r="D21" i="21"/>
  <c r="L20" i="21"/>
  <c r="E20" i="21"/>
  <c r="D20" i="21"/>
  <c r="L19" i="21"/>
  <c r="E19" i="21"/>
  <c r="D19" i="21"/>
  <c r="L18" i="21"/>
  <c r="E18" i="21"/>
  <c r="D18" i="21"/>
  <c r="L17" i="21"/>
  <c r="E17" i="21"/>
  <c r="D17" i="21"/>
  <c r="L16" i="21"/>
  <c r="E16" i="21"/>
  <c r="D16" i="21"/>
  <c r="L15" i="21"/>
  <c r="E15" i="21"/>
  <c r="D15" i="21"/>
  <c r="L14" i="21"/>
  <c r="E14" i="21"/>
  <c r="D14" i="21"/>
  <c r="L13" i="21"/>
  <c r="E13" i="21"/>
  <c r="D13" i="21"/>
  <c r="L12" i="21"/>
  <c r="E12" i="21"/>
  <c r="D12" i="21"/>
  <c r="L11" i="21"/>
  <c r="E11" i="21"/>
  <c r="D11" i="21"/>
  <c r="L10" i="21"/>
  <c r="E10" i="21"/>
  <c r="D10" i="21"/>
  <c r="L9" i="21"/>
  <c r="E9" i="21"/>
  <c r="D9" i="21"/>
  <c r="L8" i="21"/>
  <c r="E8" i="21"/>
  <c r="D8" i="21"/>
  <c r="L7" i="21"/>
  <c r="E7" i="21"/>
  <c r="D7" i="21"/>
  <c r="L6" i="21"/>
  <c r="E6" i="21"/>
  <c r="D6" i="21"/>
  <c r="L5" i="21"/>
  <c r="E5" i="21"/>
  <c r="D5" i="21"/>
  <c r="L4" i="21"/>
  <c r="E4" i="21"/>
  <c r="D4" i="21"/>
  <c r="L3" i="21"/>
  <c r="E3" i="21"/>
  <c r="D3" i="21"/>
  <c r="E2" i="21"/>
  <c r="D2" i="21"/>
  <c r="I52" i="21" l="1"/>
  <c r="I7" i="21"/>
  <c r="I15" i="21"/>
  <c r="I23" i="21"/>
  <c r="I27" i="21"/>
  <c r="I59" i="21"/>
  <c r="I71" i="21"/>
  <c r="I79" i="21"/>
  <c r="I6" i="21"/>
  <c r="I10" i="21"/>
  <c r="I22" i="21"/>
  <c r="I30" i="21"/>
  <c r="I50" i="21"/>
  <c r="I65" i="21"/>
  <c r="I69" i="21"/>
  <c r="I77" i="21"/>
  <c r="H3" i="21"/>
  <c r="I3" i="21" s="1"/>
  <c r="H4" i="21"/>
  <c r="I12" i="21"/>
  <c r="I16" i="21"/>
  <c r="I20" i="21"/>
  <c r="I24" i="21"/>
  <c r="I62" i="21"/>
  <c r="I66" i="21"/>
  <c r="I70" i="21"/>
  <c r="I78" i="21"/>
  <c r="I67" i="21"/>
  <c r="I76" i="21"/>
  <c r="I54" i="21"/>
  <c r="I58" i="21"/>
  <c r="I72" i="21"/>
  <c r="I13" i="21"/>
  <c r="I17" i="21"/>
  <c r="I25" i="21"/>
  <c r="I51" i="21"/>
  <c r="I55" i="21"/>
  <c r="I64" i="21"/>
  <c r="I68" i="21"/>
  <c r="I74" i="21"/>
  <c r="I8" i="21"/>
  <c r="I11" i="21"/>
  <c r="I28" i="21"/>
  <c r="I35" i="21"/>
  <c r="I39" i="21"/>
  <c r="I43" i="21"/>
  <c r="I47" i="21"/>
  <c r="I9" i="21"/>
  <c r="I14" i="21"/>
  <c r="I29" i="21"/>
  <c r="I56" i="21"/>
  <c r="H5" i="21"/>
  <c r="I5" i="21" s="1"/>
  <c r="I18" i="21"/>
  <c r="I26" i="21"/>
  <c r="I33" i="21"/>
  <c r="I37" i="21"/>
  <c r="I41" i="21"/>
  <c r="I45" i="21"/>
  <c r="I49" i="21"/>
  <c r="I60" i="21"/>
  <c r="I63" i="21"/>
  <c r="I75" i="21"/>
  <c r="I31" i="21"/>
  <c r="F9" i="22"/>
  <c r="F7" i="22"/>
  <c r="F6" i="22"/>
  <c r="F5" i="22"/>
  <c r="F4" i="22"/>
  <c r="F3" i="22"/>
  <c r="F11" i="22"/>
  <c r="F13" i="22"/>
  <c r="F15" i="22"/>
  <c r="F2" i="22"/>
  <c r="F42" i="22"/>
  <c r="F8" i="22"/>
  <c r="F10" i="22"/>
  <c r="F12" i="22"/>
  <c r="F14"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H2" i="21"/>
  <c r="I2" i="21" s="1"/>
  <c r="I21" i="21"/>
  <c r="I34" i="21"/>
  <c r="I38" i="21"/>
  <c r="I32" i="21"/>
  <c r="I36" i="21"/>
  <c r="I4" i="21"/>
  <c r="H19" i="21"/>
  <c r="I19" i="21" s="1"/>
  <c r="I61" i="21"/>
  <c r="I40" i="21"/>
  <c r="I42" i="21"/>
  <c r="I44" i="21"/>
  <c r="I46" i="21"/>
  <c r="I48" i="21"/>
  <c r="I53" i="21"/>
  <c r="J53" i="21" l="1"/>
  <c r="E62" i="12" s="1"/>
  <c r="J34" i="21"/>
  <c r="J31" i="21"/>
  <c r="J33" i="21"/>
  <c r="J56" i="21"/>
  <c r="J68" i="21"/>
  <c r="J78" i="21"/>
  <c r="J24" i="21"/>
  <c r="J59" i="21"/>
  <c r="J48" i="21"/>
  <c r="J36" i="21"/>
  <c r="J75" i="21"/>
  <c r="J26" i="21"/>
  <c r="J29" i="21"/>
  <c r="J64" i="21"/>
  <c r="J54" i="21"/>
  <c r="J20" i="21"/>
  <c r="J3" i="21"/>
  <c r="J50" i="21"/>
  <c r="J6" i="21"/>
  <c r="J27" i="21"/>
  <c r="J73" i="21"/>
  <c r="J46" i="21"/>
  <c r="J61" i="21"/>
  <c r="J32" i="21"/>
  <c r="J2" i="21"/>
  <c r="J83" i="21"/>
  <c r="J81" i="21"/>
  <c r="J80" i="21"/>
  <c r="J82" i="21"/>
  <c r="J63" i="21"/>
  <c r="J41" i="21"/>
  <c r="J18" i="21"/>
  <c r="J14" i="21"/>
  <c r="J39" i="21"/>
  <c r="J8" i="21"/>
  <c r="J55" i="21"/>
  <c r="J13" i="21"/>
  <c r="J76" i="21"/>
  <c r="J66" i="21"/>
  <c r="J16" i="21"/>
  <c r="J77" i="21"/>
  <c r="J30" i="21"/>
  <c r="J79" i="21"/>
  <c r="J23" i="21"/>
  <c r="J52" i="21"/>
  <c r="J42" i="21"/>
  <c r="J4" i="21"/>
  <c r="J49" i="21"/>
  <c r="J47" i="21"/>
  <c r="J28" i="21"/>
  <c r="J25" i="21"/>
  <c r="J58" i="21"/>
  <c r="J65" i="21"/>
  <c r="J10" i="21"/>
  <c r="J7" i="21"/>
  <c r="J40" i="21"/>
  <c r="J21" i="21"/>
  <c r="J45" i="21"/>
  <c r="J43" i="21"/>
  <c r="J11" i="21"/>
  <c r="J17" i="21"/>
  <c r="J70" i="21"/>
  <c r="J44" i="21"/>
  <c r="J19" i="21"/>
  <c r="J38" i="21"/>
  <c r="J60" i="21"/>
  <c r="J37" i="21"/>
  <c r="J5" i="21"/>
  <c r="J9" i="21"/>
  <c r="J35" i="21"/>
  <c r="J74" i="21"/>
  <c r="J51" i="21"/>
  <c r="J72" i="21"/>
  <c r="J67" i="21"/>
  <c r="J62" i="21"/>
  <c r="J12" i="21"/>
  <c r="J69" i="21"/>
  <c r="J22" i="21"/>
  <c r="J71" i="21"/>
  <c r="J15" i="21"/>
  <c r="J57" i="21"/>
  <c r="F43" i="22"/>
  <c r="F20" i="8" l="1"/>
  <c r="B40" i="19" l="1"/>
  <c r="H20" i="8" l="1"/>
  <c r="B27" i="24" s="1"/>
  <c r="D44" i="19" l="1"/>
  <c r="B44" i="19"/>
  <c r="I20" i="8" l="1"/>
  <c r="D54" i="18"/>
  <c r="G54" i="18" s="1"/>
  <c r="L54" i="18"/>
  <c r="E54" i="18"/>
  <c r="B61" i="12"/>
  <c r="D15" i="17"/>
  <c r="D12" i="17"/>
  <c r="E12" i="17" s="1"/>
  <c r="D9" i="17"/>
  <c r="D8" i="17"/>
  <c r="E3" i="17"/>
  <c r="E4" i="17"/>
  <c r="E5" i="17"/>
  <c r="E6" i="17"/>
  <c r="E7" i="17"/>
  <c r="E8" i="17"/>
  <c r="E9" i="17"/>
  <c r="E10" i="17"/>
  <c r="E11"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2" i="17"/>
  <c r="H61" i="12" l="1"/>
  <c r="K47" i="30"/>
  <c r="G61" i="12"/>
  <c r="F61" i="12"/>
  <c r="E61" i="12"/>
  <c r="K45" i="34"/>
  <c r="K61" i="12"/>
  <c r="N61" i="12"/>
  <c r="M61" i="12"/>
  <c r="L61" i="12"/>
  <c r="J61" i="12"/>
  <c r="I61" i="12"/>
  <c r="K49" i="29"/>
  <c r="K50" i="25"/>
  <c r="K53" i="21"/>
  <c r="C61" i="12"/>
  <c r="D61" i="12"/>
  <c r="K54" i="18"/>
  <c r="I54" i="18"/>
  <c r="I6" i="18"/>
  <c r="I10" i="18"/>
  <c r="I31" i="18"/>
  <c r="I51" i="18"/>
  <c r="I61" i="18"/>
  <c r="I71" i="18"/>
  <c r="I81" i="18"/>
  <c r="O61" i="12" l="1"/>
  <c r="F80" i="18"/>
  <c r="B7" i="12"/>
  <c r="B4" i="12"/>
  <c r="L74" i="18"/>
  <c r="L75" i="18"/>
  <c r="L76" i="18"/>
  <c r="L77" i="18"/>
  <c r="L78" i="18"/>
  <c r="L79" i="18"/>
  <c r="L80" i="18"/>
  <c r="L81" i="18"/>
  <c r="E78" i="18"/>
  <c r="E79" i="18"/>
  <c r="E80" i="18"/>
  <c r="E81" i="18"/>
  <c r="D78" i="18"/>
  <c r="I78" i="18" s="1"/>
  <c r="D79" i="18"/>
  <c r="I79" i="18" s="1"/>
  <c r="D80" i="18"/>
  <c r="I80" i="18" s="1"/>
  <c r="D81" i="18"/>
  <c r="H4" i="12" l="1"/>
  <c r="K4" i="30"/>
  <c r="G4" i="31"/>
  <c r="H7" i="12"/>
  <c r="K6" i="30"/>
  <c r="F7" i="12"/>
  <c r="G7" i="12"/>
  <c r="E7" i="12"/>
  <c r="G4" i="12"/>
  <c r="F4" i="12"/>
  <c r="E4" i="12"/>
  <c r="N4" i="12"/>
  <c r="J4" i="12"/>
  <c r="I4" i="12"/>
  <c r="K4" i="12"/>
  <c r="L4" i="12"/>
  <c r="M4" i="12"/>
  <c r="L7" i="12"/>
  <c r="K7" i="12"/>
  <c r="J7" i="12"/>
  <c r="I7" i="12"/>
  <c r="N7" i="12"/>
  <c r="M7" i="12"/>
  <c r="K4" i="34"/>
  <c r="G4" i="33"/>
  <c r="G4" i="28"/>
  <c r="K4" i="29"/>
  <c r="K4" i="25"/>
  <c r="G4" i="26"/>
  <c r="K4" i="21"/>
  <c r="C4" i="12"/>
  <c r="D4" i="12"/>
  <c r="C7" i="12"/>
  <c r="D7" i="12"/>
  <c r="C20" i="8"/>
  <c r="C27" i="8" s="1"/>
  <c r="D75" i="18"/>
  <c r="E75" i="18"/>
  <c r="D76" i="18"/>
  <c r="E76" i="18"/>
  <c r="D77" i="18"/>
  <c r="E77" i="18"/>
  <c r="D2" i="18"/>
  <c r="E2" i="18"/>
  <c r="D3" i="18"/>
  <c r="E3" i="18"/>
  <c r="D4" i="18"/>
  <c r="E4" i="18"/>
  <c r="D5" i="18"/>
  <c r="E5" i="18"/>
  <c r="D6" i="18"/>
  <c r="E6" i="18"/>
  <c r="D7" i="18"/>
  <c r="E7" i="18"/>
  <c r="D8" i="18"/>
  <c r="E8" i="18"/>
  <c r="D9" i="18"/>
  <c r="E9" i="18"/>
  <c r="D10" i="18"/>
  <c r="E10" i="18"/>
  <c r="D11" i="18"/>
  <c r="E11" i="18"/>
  <c r="D12" i="18"/>
  <c r="E12" i="18"/>
  <c r="D13" i="18"/>
  <c r="E13" i="18"/>
  <c r="D14" i="18"/>
  <c r="E14" i="18"/>
  <c r="D15" i="18"/>
  <c r="E15" i="18"/>
  <c r="D16" i="18"/>
  <c r="E16" i="18"/>
  <c r="D17" i="18"/>
  <c r="E17" i="18"/>
  <c r="D18" i="18"/>
  <c r="E18" i="18"/>
  <c r="D19" i="18"/>
  <c r="E19" i="18"/>
  <c r="D20" i="18"/>
  <c r="E20" i="18"/>
  <c r="D21" i="18"/>
  <c r="E21" i="18"/>
  <c r="D22" i="18"/>
  <c r="E22" i="18"/>
  <c r="D23" i="18"/>
  <c r="E23" i="18"/>
  <c r="D24" i="18"/>
  <c r="E24" i="18"/>
  <c r="D25" i="18"/>
  <c r="E25" i="18"/>
  <c r="D26" i="18"/>
  <c r="E26" i="18"/>
  <c r="D27" i="18"/>
  <c r="E27" i="18"/>
  <c r="D28" i="18"/>
  <c r="G28" i="18" s="1"/>
  <c r="E28" i="18"/>
  <c r="D29" i="18"/>
  <c r="G29" i="18" s="1"/>
  <c r="E29" i="18"/>
  <c r="D30" i="18"/>
  <c r="G30" i="18" s="1"/>
  <c r="E30" i="18"/>
  <c r="D31" i="18"/>
  <c r="E31" i="18"/>
  <c r="D32" i="18"/>
  <c r="E32" i="18"/>
  <c r="D33" i="18"/>
  <c r="E33" i="18"/>
  <c r="D34" i="18"/>
  <c r="G34" i="18" s="1"/>
  <c r="E34" i="18"/>
  <c r="D35" i="18"/>
  <c r="E35" i="18"/>
  <c r="D36" i="18"/>
  <c r="E36" i="18"/>
  <c r="D37" i="18"/>
  <c r="E37" i="18"/>
  <c r="D38" i="18"/>
  <c r="E38" i="18"/>
  <c r="D39" i="18"/>
  <c r="E39" i="18"/>
  <c r="D40" i="18"/>
  <c r="E40" i="18"/>
  <c r="D41" i="18"/>
  <c r="E41" i="18"/>
  <c r="D42" i="18"/>
  <c r="E42" i="18"/>
  <c r="D43" i="18"/>
  <c r="E43" i="18"/>
  <c r="D44" i="18"/>
  <c r="E44" i="18"/>
  <c r="D45" i="18"/>
  <c r="E45" i="18"/>
  <c r="D46" i="18"/>
  <c r="E46" i="18"/>
  <c r="D47" i="18"/>
  <c r="E47" i="18"/>
  <c r="D48" i="18"/>
  <c r="E48" i="18"/>
  <c r="D49" i="18"/>
  <c r="E49" i="18"/>
  <c r="D50" i="18"/>
  <c r="E50" i="18"/>
  <c r="D51" i="18"/>
  <c r="E51" i="18"/>
  <c r="D52" i="18"/>
  <c r="E52" i="18"/>
  <c r="D53" i="18"/>
  <c r="E53" i="18"/>
  <c r="D56" i="18"/>
  <c r="E56" i="18"/>
  <c r="D57" i="18"/>
  <c r="E57" i="18"/>
  <c r="D58" i="18"/>
  <c r="E58" i="18"/>
  <c r="D59" i="18"/>
  <c r="E59" i="18"/>
  <c r="D60" i="18"/>
  <c r="E60" i="18"/>
  <c r="D61" i="18"/>
  <c r="E61" i="18"/>
  <c r="D62" i="18"/>
  <c r="E62" i="18"/>
  <c r="D63" i="18"/>
  <c r="E63" i="18"/>
  <c r="D64" i="18"/>
  <c r="E64" i="18"/>
  <c r="D65" i="18"/>
  <c r="E65" i="18"/>
  <c r="D66" i="18"/>
  <c r="E66" i="18"/>
  <c r="D67" i="18"/>
  <c r="E67" i="18"/>
  <c r="D68" i="18"/>
  <c r="E68" i="18"/>
  <c r="D69" i="18"/>
  <c r="E69" i="18"/>
  <c r="D70" i="18"/>
  <c r="E70" i="18"/>
  <c r="D71" i="18"/>
  <c r="E71" i="18"/>
  <c r="D72" i="18"/>
  <c r="E72" i="18"/>
  <c r="D73" i="18"/>
  <c r="E73" i="18"/>
  <c r="D74" i="18"/>
  <c r="E74" i="18"/>
  <c r="L18" i="18"/>
  <c r="L9" i="18"/>
  <c r="L3" i="18"/>
  <c r="L72" i="18"/>
  <c r="L71" i="18"/>
  <c r="L70" i="18"/>
  <c r="L68" i="18"/>
  <c r="L67" i="18"/>
  <c r="L66" i="18"/>
  <c r="L64" i="18"/>
  <c r="L63" i="18"/>
  <c r="L61" i="18"/>
  <c r="L60" i="18"/>
  <c r="L58" i="18"/>
  <c r="L57" i="18"/>
  <c r="L53" i="18"/>
  <c r="L52" i="18"/>
  <c r="L51" i="18"/>
  <c r="L49" i="18"/>
  <c r="L48" i="18"/>
  <c r="L47" i="18"/>
  <c r="L45" i="18"/>
  <c r="L44" i="18"/>
  <c r="L43" i="18"/>
  <c r="L41" i="18"/>
  <c r="L40" i="18"/>
  <c r="L39" i="18"/>
  <c r="L37" i="18"/>
  <c r="L36" i="18"/>
  <c r="L35" i="18"/>
  <c r="L33" i="18"/>
  <c r="L32" i="18"/>
  <c r="L31" i="18"/>
  <c r="L29" i="18"/>
  <c r="L27" i="18"/>
  <c r="L26" i="18"/>
  <c r="L25" i="18"/>
  <c r="L23" i="18"/>
  <c r="L21" i="18"/>
  <c r="L20" i="18"/>
  <c r="L19" i="18"/>
  <c r="L17" i="18"/>
  <c r="L16" i="18"/>
  <c r="L15" i="18"/>
  <c r="L13" i="18"/>
  <c r="L12" i="18"/>
  <c r="L11" i="18"/>
  <c r="L8" i="18"/>
  <c r="L7" i="18"/>
  <c r="L6" i="18"/>
  <c r="L5" i="18"/>
  <c r="L4" i="18"/>
  <c r="L2" i="18"/>
  <c r="O7" i="12" l="1"/>
  <c r="O4" i="12"/>
  <c r="S72" i="12"/>
  <c r="R72" i="12" s="1"/>
  <c r="S68" i="12"/>
  <c r="R68" i="12" s="1"/>
  <c r="S71" i="12"/>
  <c r="R71" i="12" s="1"/>
  <c r="S66" i="12"/>
  <c r="R66" i="12" s="1"/>
  <c r="S67" i="12"/>
  <c r="R67" i="12" s="1"/>
  <c r="S69" i="12"/>
  <c r="R69" i="12" s="1"/>
  <c r="S70" i="12"/>
  <c r="R70" i="12" s="1"/>
  <c r="I74" i="18"/>
  <c r="I72" i="18"/>
  <c r="I70" i="18"/>
  <c r="I68" i="18"/>
  <c r="I66" i="18"/>
  <c r="I64" i="18"/>
  <c r="I62" i="18"/>
  <c r="I60" i="18"/>
  <c r="I58" i="18"/>
  <c r="I56" i="18"/>
  <c r="I52" i="18"/>
  <c r="I50" i="18"/>
  <c r="I48" i="18"/>
  <c r="I46" i="18"/>
  <c r="I44" i="18"/>
  <c r="I42" i="18"/>
  <c r="I40" i="18"/>
  <c r="I38" i="18"/>
  <c r="I36" i="18"/>
  <c r="I34" i="18"/>
  <c r="I32" i="18"/>
  <c r="I30" i="18"/>
  <c r="I28" i="18"/>
  <c r="I26" i="18"/>
  <c r="I24" i="18"/>
  <c r="I22" i="18"/>
  <c r="H20" i="18"/>
  <c r="I20" i="18" s="1"/>
  <c r="I18" i="18"/>
  <c r="I16" i="18"/>
  <c r="H14" i="18"/>
  <c r="I14" i="18" s="1"/>
  <c r="I12" i="18"/>
  <c r="H8" i="18"/>
  <c r="I8" i="18" s="1"/>
  <c r="H4" i="18"/>
  <c r="I4" i="18" s="1"/>
  <c r="I76" i="18"/>
  <c r="I73" i="18"/>
  <c r="I69" i="18"/>
  <c r="I67" i="18"/>
  <c r="I65" i="18"/>
  <c r="I63" i="18"/>
  <c r="I59" i="18"/>
  <c r="I57" i="18"/>
  <c r="I53" i="18"/>
  <c r="I49" i="18"/>
  <c r="I47" i="18"/>
  <c r="I45" i="18"/>
  <c r="I43" i="18"/>
  <c r="I41" i="18"/>
  <c r="I39" i="18"/>
  <c r="I37" i="18"/>
  <c r="I35" i="18"/>
  <c r="I33" i="18"/>
  <c r="I29" i="18"/>
  <c r="I27" i="18"/>
  <c r="I25" i="18"/>
  <c r="I23" i="18"/>
  <c r="H21" i="18"/>
  <c r="I21" i="18" s="1"/>
  <c r="H19" i="18"/>
  <c r="I19" i="18" s="1"/>
  <c r="I17" i="18"/>
  <c r="I15" i="18"/>
  <c r="I13" i="18"/>
  <c r="I11" i="18"/>
  <c r="I9" i="18"/>
  <c r="I7" i="18"/>
  <c r="H5" i="18"/>
  <c r="I5" i="18" s="1"/>
  <c r="I77" i="18"/>
  <c r="I75" i="18"/>
  <c r="P7" i="12"/>
  <c r="H2" i="18"/>
  <c r="I2" i="18" s="1"/>
  <c r="L14" i="18"/>
  <c r="L28" i="18"/>
  <c r="L38" i="18"/>
  <c r="L65" i="18"/>
  <c r="L69" i="18"/>
  <c r="L73" i="18"/>
  <c r="L10" i="18"/>
  <c r="L22" i="18"/>
  <c r="L24" i="18"/>
  <c r="L30" i="18"/>
  <c r="L34" i="18"/>
  <c r="L42" i="18"/>
  <c r="L46" i="18"/>
  <c r="L50" i="18"/>
  <c r="L56" i="18"/>
  <c r="L59" i="18"/>
  <c r="L62" i="18"/>
  <c r="H3" i="18"/>
  <c r="I3" i="18" s="1"/>
  <c r="H40" i="17"/>
  <c r="H39" i="17"/>
  <c r="H38" i="17"/>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H5" i="17"/>
  <c r="H4" i="17"/>
  <c r="H3" i="17"/>
  <c r="H2" i="17"/>
  <c r="B3" i="12"/>
  <c r="B5" i="12"/>
  <c r="H5" i="12" s="1"/>
  <c r="B6" i="12"/>
  <c r="B8" i="12"/>
  <c r="B9" i="12"/>
  <c r="B10" i="12"/>
  <c r="B11" i="12"/>
  <c r="H11" i="12" s="1"/>
  <c r="B12" i="12"/>
  <c r="B13" i="12"/>
  <c r="B14" i="12"/>
  <c r="B15" i="12"/>
  <c r="B16" i="12"/>
  <c r="B17" i="12"/>
  <c r="B18" i="12"/>
  <c r="B19" i="12"/>
  <c r="B20" i="12"/>
  <c r="B21" i="12"/>
  <c r="B22" i="12"/>
  <c r="B23" i="12"/>
  <c r="B24" i="12"/>
  <c r="H24" i="12" s="1"/>
  <c r="B25" i="12"/>
  <c r="B26" i="12"/>
  <c r="B27" i="12"/>
  <c r="B28" i="12"/>
  <c r="H28" i="12" s="1"/>
  <c r="B29" i="12"/>
  <c r="B30" i="12"/>
  <c r="B31" i="12"/>
  <c r="H31" i="12" s="1"/>
  <c r="B32" i="12"/>
  <c r="B33" i="12"/>
  <c r="B34" i="12"/>
  <c r="B35" i="12"/>
  <c r="H35" i="12" s="1"/>
  <c r="B36" i="12"/>
  <c r="H36" i="12" s="1"/>
  <c r="B37" i="12"/>
  <c r="B38" i="12"/>
  <c r="B39" i="12"/>
  <c r="H39" i="12" s="1"/>
  <c r="B40" i="12"/>
  <c r="B41" i="12"/>
  <c r="B42" i="12"/>
  <c r="B43" i="12"/>
  <c r="B44" i="12"/>
  <c r="H44" i="12" s="1"/>
  <c r="B45" i="12"/>
  <c r="H45" i="12" s="1"/>
  <c r="B46" i="12"/>
  <c r="B47" i="12"/>
  <c r="H47" i="12" s="1"/>
  <c r="B48" i="12"/>
  <c r="B49" i="12"/>
  <c r="B50" i="12"/>
  <c r="B51" i="12"/>
  <c r="H51" i="12" s="1"/>
  <c r="B52" i="12"/>
  <c r="H52" i="12" s="1"/>
  <c r="B53" i="12"/>
  <c r="B54" i="12"/>
  <c r="B55" i="12"/>
  <c r="H55" i="12" s="1"/>
  <c r="B56" i="12"/>
  <c r="B57" i="12"/>
  <c r="B58" i="12"/>
  <c r="B59" i="12"/>
  <c r="B60" i="12"/>
  <c r="B63" i="12"/>
  <c r="H63" i="12" s="1"/>
  <c r="B64" i="12"/>
  <c r="B65" i="12"/>
  <c r="H65" i="12" s="1"/>
  <c r="B73" i="12"/>
  <c r="B74" i="12"/>
  <c r="B75" i="12"/>
  <c r="B76" i="12"/>
  <c r="B77" i="12"/>
  <c r="B78" i="12"/>
  <c r="H78" i="12" s="1"/>
  <c r="B79" i="12"/>
  <c r="B80" i="12"/>
  <c r="B81" i="12"/>
  <c r="B82" i="12"/>
  <c r="B83" i="12"/>
  <c r="B84" i="12"/>
  <c r="B85" i="12"/>
  <c r="B86" i="12"/>
  <c r="B87" i="12"/>
  <c r="B88" i="12"/>
  <c r="H88" i="12" s="1"/>
  <c r="B89" i="12"/>
  <c r="B90" i="12"/>
  <c r="B91" i="12"/>
  <c r="B92" i="12"/>
  <c r="B93" i="12"/>
  <c r="B94" i="12"/>
  <c r="B95" i="12"/>
  <c r="B96" i="12"/>
  <c r="B97" i="12"/>
  <c r="B98" i="12"/>
  <c r="B2" i="12"/>
  <c r="H79" i="12" l="1"/>
  <c r="G25" i="31"/>
  <c r="K61" i="30"/>
  <c r="H64" i="12"/>
  <c r="K49" i="30"/>
  <c r="H54" i="12"/>
  <c r="K41" i="30"/>
  <c r="H46" i="12"/>
  <c r="K36" i="30"/>
  <c r="H38" i="12"/>
  <c r="K31" i="30"/>
  <c r="H30" i="12"/>
  <c r="K26" i="30"/>
  <c r="H22" i="12"/>
  <c r="K20" i="30"/>
  <c r="G19" i="31"/>
  <c r="H18" i="12"/>
  <c r="G15" i="31"/>
  <c r="K16" i="30"/>
  <c r="H14" i="12"/>
  <c r="K12" i="30"/>
  <c r="G11" i="31"/>
  <c r="H10" i="12"/>
  <c r="K9" i="30"/>
  <c r="G8" i="31"/>
  <c r="H94" i="12"/>
  <c r="G37" i="31"/>
  <c r="K75" i="30"/>
  <c r="H86" i="12"/>
  <c r="G31" i="31"/>
  <c r="K68" i="30"/>
  <c r="H53" i="12"/>
  <c r="K40" i="30"/>
  <c r="H49" i="12"/>
  <c r="K38" i="30"/>
  <c r="H41" i="12"/>
  <c r="K33" i="30"/>
  <c r="H33" i="12"/>
  <c r="K28" i="30"/>
  <c r="K22" i="30"/>
  <c r="H25" i="12"/>
  <c r="H17" i="12"/>
  <c r="K15" i="30"/>
  <c r="G14" i="31"/>
  <c r="H9" i="12"/>
  <c r="K8" i="30"/>
  <c r="G7" i="31"/>
  <c r="H97" i="12"/>
  <c r="K78" i="30"/>
  <c r="G40" i="31"/>
  <c r="H89" i="12"/>
  <c r="K70" i="30"/>
  <c r="H81" i="12"/>
  <c r="G27" i="31"/>
  <c r="K63" i="30"/>
  <c r="H73" i="12"/>
  <c r="K56" i="30"/>
  <c r="H48" i="12"/>
  <c r="K37" i="30"/>
  <c r="H32" i="12"/>
  <c r="K27" i="30"/>
  <c r="H20" i="12"/>
  <c r="G17" i="31"/>
  <c r="K18" i="30"/>
  <c r="H16" i="12"/>
  <c r="G13" i="31"/>
  <c r="K14" i="30"/>
  <c r="H12" i="12"/>
  <c r="G9" i="31"/>
  <c r="K10" i="30"/>
  <c r="H8" i="12"/>
  <c r="K7" i="30"/>
  <c r="G6" i="31"/>
  <c r="G2" i="31"/>
  <c r="K2" i="30"/>
  <c r="H95" i="12"/>
  <c r="G38" i="31"/>
  <c r="K76" i="30"/>
  <c r="H91" i="12"/>
  <c r="G34" i="31"/>
  <c r="K72" i="30"/>
  <c r="H87" i="12"/>
  <c r="K69" i="30"/>
  <c r="G32" i="31"/>
  <c r="H83" i="12"/>
  <c r="G29" i="31"/>
  <c r="K65" i="30"/>
  <c r="H75" i="12"/>
  <c r="K58" i="30"/>
  <c r="G24" i="31"/>
  <c r="H58" i="12"/>
  <c r="K44" i="30"/>
  <c r="H50" i="12"/>
  <c r="K39" i="30"/>
  <c r="H42" i="12"/>
  <c r="K34" i="30"/>
  <c r="H34" i="12"/>
  <c r="K29" i="30"/>
  <c r="K23" i="30"/>
  <c r="G20" i="31"/>
  <c r="H26" i="12"/>
  <c r="H98" i="12"/>
  <c r="G41" i="31"/>
  <c r="K79" i="30"/>
  <c r="H90" i="12"/>
  <c r="G33" i="31"/>
  <c r="K71" i="30"/>
  <c r="H82" i="12"/>
  <c r="K64" i="30"/>
  <c r="G28" i="31"/>
  <c r="H74" i="12"/>
  <c r="K57" i="30"/>
  <c r="H57" i="12"/>
  <c r="K43" i="30"/>
  <c r="H37" i="12"/>
  <c r="K30" i="30"/>
  <c r="G23" i="31"/>
  <c r="H29" i="12"/>
  <c r="G22" i="31"/>
  <c r="K25" i="30"/>
  <c r="H21" i="12"/>
  <c r="G18" i="31"/>
  <c r="K19" i="30"/>
  <c r="H13" i="12"/>
  <c r="G10" i="31"/>
  <c r="K11" i="30"/>
  <c r="H3" i="12"/>
  <c r="G3" i="31"/>
  <c r="K3" i="30"/>
  <c r="H93" i="12"/>
  <c r="K74" i="30"/>
  <c r="G36" i="31"/>
  <c r="H85" i="12"/>
  <c r="K67" i="30"/>
  <c r="H77" i="12"/>
  <c r="K60" i="30"/>
  <c r="H60" i="12"/>
  <c r="K46" i="30"/>
  <c r="H56" i="12"/>
  <c r="K42" i="30"/>
  <c r="H40" i="12"/>
  <c r="K32" i="30"/>
  <c r="H96" i="12"/>
  <c r="K77" i="30"/>
  <c r="G39" i="31"/>
  <c r="H92" i="12"/>
  <c r="G35" i="31"/>
  <c r="K73" i="30"/>
  <c r="H84" i="12"/>
  <c r="G30" i="31"/>
  <c r="K66" i="30"/>
  <c r="H80" i="12"/>
  <c r="G26" i="31"/>
  <c r="K62" i="30"/>
  <c r="H76" i="12"/>
  <c r="K59" i="30"/>
  <c r="H59" i="12"/>
  <c r="K45" i="30"/>
  <c r="H43" i="12"/>
  <c r="K35" i="30"/>
  <c r="H27" i="12"/>
  <c r="G21" i="31"/>
  <c r="K24" i="30"/>
  <c r="H23" i="12"/>
  <c r="K21" i="30"/>
  <c r="H19" i="12"/>
  <c r="K17" i="30"/>
  <c r="G16" i="31"/>
  <c r="H15" i="12"/>
  <c r="G12" i="31"/>
  <c r="K13" i="30"/>
  <c r="H6" i="12"/>
  <c r="G5" i="31"/>
  <c r="K5" i="30"/>
  <c r="G92" i="12"/>
  <c r="F92" i="12"/>
  <c r="E92" i="12"/>
  <c r="G84" i="12"/>
  <c r="F84" i="12"/>
  <c r="E84" i="12"/>
  <c r="G76" i="12"/>
  <c r="F76" i="12"/>
  <c r="E76" i="12"/>
  <c r="G59" i="12"/>
  <c r="F59" i="12"/>
  <c r="E59" i="12"/>
  <c r="G51" i="12"/>
  <c r="E51" i="12"/>
  <c r="F51" i="12"/>
  <c r="G43" i="12"/>
  <c r="F43" i="12"/>
  <c r="E43" i="12"/>
  <c r="G35" i="12"/>
  <c r="F35" i="12"/>
  <c r="E35" i="12"/>
  <c r="G27" i="12"/>
  <c r="F27" i="12"/>
  <c r="E27" i="12"/>
  <c r="G19" i="12"/>
  <c r="F19" i="12"/>
  <c r="E19" i="12"/>
  <c r="E11" i="12"/>
  <c r="G11" i="12"/>
  <c r="F11" i="12"/>
  <c r="G6" i="12"/>
  <c r="F6" i="12"/>
  <c r="E6" i="12"/>
  <c r="H2" i="12"/>
  <c r="G2" i="12"/>
  <c r="F2" i="12"/>
  <c r="E2" i="12"/>
  <c r="G91" i="12"/>
  <c r="F91" i="12"/>
  <c r="E91" i="12"/>
  <c r="G83" i="12"/>
  <c r="F83" i="12"/>
  <c r="E83" i="12"/>
  <c r="G79" i="12"/>
  <c r="F79" i="12"/>
  <c r="E79" i="12"/>
  <c r="E64" i="12"/>
  <c r="G64" i="12"/>
  <c r="F64" i="12"/>
  <c r="F54" i="12"/>
  <c r="G54" i="12"/>
  <c r="E54" i="12"/>
  <c r="F46" i="12"/>
  <c r="E46" i="12"/>
  <c r="G46" i="12"/>
  <c r="F38" i="12"/>
  <c r="G38" i="12"/>
  <c r="E38" i="12"/>
  <c r="G30" i="12"/>
  <c r="F30" i="12"/>
  <c r="E30" i="12"/>
  <c r="G22" i="12"/>
  <c r="F22" i="12"/>
  <c r="E22" i="12"/>
  <c r="G14" i="12"/>
  <c r="F14" i="12"/>
  <c r="E14" i="12"/>
  <c r="E5" i="12"/>
  <c r="F5" i="12"/>
  <c r="G5" i="12"/>
  <c r="G98" i="12"/>
  <c r="F98" i="12"/>
  <c r="E98" i="12"/>
  <c r="G94" i="12"/>
  <c r="F94" i="12"/>
  <c r="E94" i="12"/>
  <c r="G90" i="12"/>
  <c r="F90" i="12"/>
  <c r="E90" i="12"/>
  <c r="G86" i="12"/>
  <c r="F86" i="12"/>
  <c r="E86" i="12"/>
  <c r="G82" i="12"/>
  <c r="F82" i="12"/>
  <c r="E82" i="12"/>
  <c r="F78" i="12"/>
  <c r="E78" i="12"/>
  <c r="G78" i="12"/>
  <c r="G74" i="12"/>
  <c r="F74" i="12"/>
  <c r="E74" i="12"/>
  <c r="G63" i="12"/>
  <c r="F63" i="12"/>
  <c r="E63" i="12"/>
  <c r="G57" i="12"/>
  <c r="F57" i="12"/>
  <c r="E57" i="12"/>
  <c r="G53" i="12"/>
  <c r="F53" i="12"/>
  <c r="E53" i="12"/>
  <c r="G49" i="12"/>
  <c r="F49" i="12"/>
  <c r="E49" i="12"/>
  <c r="G45" i="12"/>
  <c r="F45" i="12"/>
  <c r="E45" i="12"/>
  <c r="G41" i="12"/>
  <c r="F41" i="12"/>
  <c r="E41" i="12"/>
  <c r="G37" i="12"/>
  <c r="F37" i="12"/>
  <c r="E37" i="12"/>
  <c r="G33" i="12"/>
  <c r="E33" i="12"/>
  <c r="F33" i="12"/>
  <c r="G29" i="12"/>
  <c r="F29" i="12"/>
  <c r="E29" i="12"/>
  <c r="G25" i="12"/>
  <c r="F25" i="12"/>
  <c r="E25" i="12"/>
  <c r="G21" i="12"/>
  <c r="F21" i="12"/>
  <c r="E21" i="12"/>
  <c r="G17" i="12"/>
  <c r="F17" i="12"/>
  <c r="E17" i="12"/>
  <c r="G13" i="12"/>
  <c r="F13" i="12"/>
  <c r="E13" i="12"/>
  <c r="G9" i="12"/>
  <c r="F9" i="12"/>
  <c r="E9" i="12"/>
  <c r="G3" i="12"/>
  <c r="F3" i="12"/>
  <c r="E3" i="12"/>
  <c r="G96" i="12"/>
  <c r="F96" i="12"/>
  <c r="E96" i="12"/>
  <c r="G88" i="12"/>
  <c r="F88" i="12"/>
  <c r="E88" i="12"/>
  <c r="G80" i="12"/>
  <c r="F80" i="12"/>
  <c r="E80" i="12"/>
  <c r="G65" i="12"/>
  <c r="F65" i="12"/>
  <c r="E65" i="12"/>
  <c r="G55" i="12"/>
  <c r="F55" i="12"/>
  <c r="E55" i="12"/>
  <c r="F47" i="12"/>
  <c r="G47" i="12"/>
  <c r="E47" i="12"/>
  <c r="F39" i="12"/>
  <c r="G39" i="12"/>
  <c r="E39" i="12"/>
  <c r="F31" i="12"/>
  <c r="G31" i="12"/>
  <c r="E31" i="12"/>
  <c r="G23" i="12"/>
  <c r="F23" i="12"/>
  <c r="E23" i="12"/>
  <c r="G15" i="12"/>
  <c r="F15" i="12"/>
  <c r="E15" i="12"/>
  <c r="G95" i="12"/>
  <c r="F95" i="12"/>
  <c r="E95" i="12"/>
  <c r="G87" i="12"/>
  <c r="F87" i="12"/>
  <c r="E87" i="12"/>
  <c r="F75" i="12"/>
  <c r="E75" i="12"/>
  <c r="G75" i="12"/>
  <c r="G58" i="12"/>
  <c r="F58" i="12"/>
  <c r="E58" i="12"/>
  <c r="G50" i="12"/>
  <c r="F50" i="12"/>
  <c r="E50" i="12"/>
  <c r="G42" i="12"/>
  <c r="F42" i="12"/>
  <c r="E42" i="12"/>
  <c r="G34" i="12"/>
  <c r="F34" i="12"/>
  <c r="E34" i="12"/>
  <c r="G26" i="12"/>
  <c r="F26" i="12"/>
  <c r="E26" i="12"/>
  <c r="G18" i="12"/>
  <c r="F18" i="12"/>
  <c r="E18" i="12"/>
  <c r="G10" i="12"/>
  <c r="F10" i="12"/>
  <c r="E10" i="12"/>
  <c r="G97" i="12"/>
  <c r="F97" i="12"/>
  <c r="E97" i="12"/>
  <c r="G93" i="12"/>
  <c r="F93" i="12"/>
  <c r="E93" i="12"/>
  <c r="F89" i="12"/>
  <c r="E89" i="12"/>
  <c r="G89" i="12"/>
  <c r="G85" i="12"/>
  <c r="F85" i="12"/>
  <c r="E85" i="12"/>
  <c r="G81" i="12"/>
  <c r="F81" i="12"/>
  <c r="E81" i="12"/>
  <c r="G77" i="12"/>
  <c r="F77" i="12"/>
  <c r="E77" i="12"/>
  <c r="G73" i="12"/>
  <c r="F73" i="12"/>
  <c r="E73" i="12"/>
  <c r="G60" i="12"/>
  <c r="F60" i="12"/>
  <c r="E60" i="12"/>
  <c r="G56" i="12"/>
  <c r="F56" i="12"/>
  <c r="E56" i="12"/>
  <c r="F52" i="12"/>
  <c r="G52" i="12"/>
  <c r="E52" i="12"/>
  <c r="G48" i="12"/>
  <c r="F48" i="12"/>
  <c r="E48" i="12"/>
  <c r="G44" i="12"/>
  <c r="F44" i="12"/>
  <c r="E44" i="12"/>
  <c r="G40" i="12"/>
  <c r="F40" i="12"/>
  <c r="E40" i="12"/>
  <c r="G36" i="12"/>
  <c r="F36" i="12"/>
  <c r="E36" i="12"/>
  <c r="G32" i="12"/>
  <c r="F32" i="12"/>
  <c r="E32" i="12"/>
  <c r="E28" i="12"/>
  <c r="F28" i="12"/>
  <c r="G28" i="12"/>
  <c r="G24" i="12"/>
  <c r="F24" i="12"/>
  <c r="E24" i="12"/>
  <c r="G20" i="12"/>
  <c r="F20" i="12"/>
  <c r="E20" i="12"/>
  <c r="G16" i="12"/>
  <c r="F16" i="12"/>
  <c r="E16" i="12"/>
  <c r="G12" i="12"/>
  <c r="F12" i="12"/>
  <c r="E12" i="12"/>
  <c r="G8" i="12"/>
  <c r="F8" i="12"/>
  <c r="E8" i="12"/>
  <c r="K92" i="12"/>
  <c r="J92" i="12"/>
  <c r="I92" i="12"/>
  <c r="L92" i="12"/>
  <c r="N92" i="12"/>
  <c r="M92" i="12"/>
  <c r="L84" i="12"/>
  <c r="K84" i="12"/>
  <c r="N84" i="12"/>
  <c r="J84" i="12"/>
  <c r="I84" i="12"/>
  <c r="M84" i="12"/>
  <c r="K56" i="34"/>
  <c r="K76" i="12"/>
  <c r="L76" i="12"/>
  <c r="J76" i="12"/>
  <c r="I76" i="12"/>
  <c r="N76" i="12"/>
  <c r="M76" i="12"/>
  <c r="K43" i="34"/>
  <c r="K59" i="12"/>
  <c r="J59" i="12"/>
  <c r="I59" i="12"/>
  <c r="N59" i="12"/>
  <c r="M59" i="12"/>
  <c r="L59" i="12"/>
  <c r="K51" i="12"/>
  <c r="N51" i="12"/>
  <c r="J51" i="12"/>
  <c r="M51" i="12"/>
  <c r="I51" i="12"/>
  <c r="L51" i="12"/>
  <c r="K34" i="34"/>
  <c r="K43" i="12"/>
  <c r="J43" i="12"/>
  <c r="I43" i="12"/>
  <c r="M43" i="12"/>
  <c r="N43" i="12"/>
  <c r="L43" i="12"/>
  <c r="N35" i="12"/>
  <c r="J35" i="12"/>
  <c r="M35" i="12"/>
  <c r="L35" i="12"/>
  <c r="I35" i="12"/>
  <c r="K35" i="12"/>
  <c r="L27" i="12"/>
  <c r="K27" i="12"/>
  <c r="I27" i="12"/>
  <c r="N27" i="12"/>
  <c r="J27" i="12"/>
  <c r="M27" i="12"/>
  <c r="N19" i="12"/>
  <c r="K19" i="12"/>
  <c r="J19" i="12"/>
  <c r="I19" i="12"/>
  <c r="L19" i="12"/>
  <c r="M19" i="12"/>
  <c r="K11" i="12"/>
  <c r="I11" i="12"/>
  <c r="M11" i="12"/>
  <c r="L11" i="12"/>
  <c r="J11" i="12"/>
  <c r="N11" i="12"/>
  <c r="N6" i="12"/>
  <c r="K6" i="12"/>
  <c r="I6" i="12"/>
  <c r="L6" i="12"/>
  <c r="J6" i="12"/>
  <c r="M6" i="12"/>
  <c r="N2" i="12"/>
  <c r="L2" i="12"/>
  <c r="I2" i="12"/>
  <c r="K2" i="12"/>
  <c r="J2" i="12"/>
  <c r="M2" i="12"/>
  <c r="L91" i="12"/>
  <c r="I91" i="12"/>
  <c r="N91" i="12"/>
  <c r="K91" i="12"/>
  <c r="J91" i="12"/>
  <c r="M91" i="12"/>
  <c r="K83" i="12"/>
  <c r="N83" i="12"/>
  <c r="L83" i="12"/>
  <c r="J83" i="12"/>
  <c r="I83" i="12"/>
  <c r="M83" i="12"/>
  <c r="K75" i="12"/>
  <c r="J75" i="12"/>
  <c r="I75" i="12"/>
  <c r="M75" i="12"/>
  <c r="N75" i="12"/>
  <c r="L75" i="12"/>
  <c r="K42" i="34"/>
  <c r="N58" i="12"/>
  <c r="K58" i="12"/>
  <c r="M58" i="12"/>
  <c r="L58" i="12"/>
  <c r="J58" i="12"/>
  <c r="I58" i="12"/>
  <c r="K37" i="34"/>
  <c r="N50" i="12"/>
  <c r="K50" i="12"/>
  <c r="M50" i="12"/>
  <c r="L50" i="12"/>
  <c r="J50" i="12"/>
  <c r="I50" i="12"/>
  <c r="K33" i="34"/>
  <c r="N42" i="12"/>
  <c r="K42" i="12"/>
  <c r="M42" i="12"/>
  <c r="L42" i="12"/>
  <c r="J42" i="12"/>
  <c r="I42" i="12"/>
  <c r="N34" i="12"/>
  <c r="J34" i="12"/>
  <c r="M34" i="12"/>
  <c r="L34" i="12"/>
  <c r="K34" i="12"/>
  <c r="I34" i="12"/>
  <c r="N26" i="12"/>
  <c r="K26" i="12"/>
  <c r="J26" i="12"/>
  <c r="L26" i="12"/>
  <c r="I26" i="12"/>
  <c r="M26" i="12"/>
  <c r="N18" i="12"/>
  <c r="J18" i="12"/>
  <c r="L18" i="12"/>
  <c r="K18" i="12"/>
  <c r="I18" i="12"/>
  <c r="M18" i="12"/>
  <c r="N10" i="12"/>
  <c r="J10" i="12"/>
  <c r="L10" i="12"/>
  <c r="K10" i="12"/>
  <c r="I10" i="12"/>
  <c r="M10" i="12"/>
  <c r="N98" i="12"/>
  <c r="K98" i="12"/>
  <c r="I98" i="12"/>
  <c r="L98" i="12"/>
  <c r="J98" i="12"/>
  <c r="M98" i="12"/>
  <c r="N94" i="12"/>
  <c r="K94" i="12"/>
  <c r="J94" i="12"/>
  <c r="I94" i="12"/>
  <c r="L94" i="12"/>
  <c r="M94" i="12"/>
  <c r="N90" i="12"/>
  <c r="K90" i="12"/>
  <c r="L90" i="12"/>
  <c r="J90" i="12"/>
  <c r="I90" i="12"/>
  <c r="M90" i="12"/>
  <c r="N86" i="12"/>
  <c r="J86" i="12"/>
  <c r="L86" i="12"/>
  <c r="I86" i="12"/>
  <c r="K86" i="12"/>
  <c r="M86" i="12"/>
  <c r="N82" i="12"/>
  <c r="J82" i="12"/>
  <c r="L82" i="12"/>
  <c r="K82" i="12"/>
  <c r="I82" i="12"/>
  <c r="M82" i="12"/>
  <c r="K58" i="34"/>
  <c r="N78" i="12"/>
  <c r="K78" i="12"/>
  <c r="M78" i="12"/>
  <c r="L78" i="12"/>
  <c r="I78" i="12"/>
  <c r="J78" i="12"/>
  <c r="K54" i="34"/>
  <c r="N74" i="12"/>
  <c r="K74" i="12"/>
  <c r="M74" i="12"/>
  <c r="L74" i="12"/>
  <c r="J74" i="12"/>
  <c r="I74" i="12"/>
  <c r="C63" i="12"/>
  <c r="K63" i="12"/>
  <c r="J63" i="12"/>
  <c r="N63" i="12"/>
  <c r="M63" i="12"/>
  <c r="L63" i="12"/>
  <c r="I63" i="12"/>
  <c r="K41" i="34"/>
  <c r="K57" i="12"/>
  <c r="M57" i="12"/>
  <c r="N57" i="12"/>
  <c r="L57" i="12"/>
  <c r="J57" i="12"/>
  <c r="I57" i="12"/>
  <c r="K38" i="34"/>
  <c r="K53" i="12"/>
  <c r="M53" i="12"/>
  <c r="L53" i="12"/>
  <c r="J53" i="12"/>
  <c r="I53" i="12"/>
  <c r="N53" i="12"/>
  <c r="K36" i="34"/>
  <c r="K49" i="12"/>
  <c r="M49" i="12"/>
  <c r="L49" i="12"/>
  <c r="I49" i="12"/>
  <c r="N49" i="12"/>
  <c r="J49" i="12"/>
  <c r="K45" i="12"/>
  <c r="N45" i="12"/>
  <c r="M45" i="12"/>
  <c r="L45" i="12"/>
  <c r="J45" i="12"/>
  <c r="I45" i="12"/>
  <c r="K32" i="34"/>
  <c r="K41" i="12"/>
  <c r="M41" i="12"/>
  <c r="N41" i="12"/>
  <c r="L41" i="12"/>
  <c r="J41" i="12"/>
  <c r="I41" i="12"/>
  <c r="K29" i="34"/>
  <c r="J37" i="12"/>
  <c r="L37" i="12"/>
  <c r="K37" i="12"/>
  <c r="N37" i="12"/>
  <c r="I37" i="12"/>
  <c r="M37" i="12"/>
  <c r="J33" i="12"/>
  <c r="M33" i="12"/>
  <c r="N33" i="12"/>
  <c r="I33" i="12"/>
  <c r="L33" i="12"/>
  <c r="K33" i="12"/>
  <c r="N29" i="12"/>
  <c r="L29" i="12"/>
  <c r="I29" i="12"/>
  <c r="K29" i="12"/>
  <c r="J29" i="12"/>
  <c r="M29" i="12"/>
  <c r="K25" i="12"/>
  <c r="N25" i="12"/>
  <c r="J25" i="12"/>
  <c r="M25" i="12"/>
  <c r="L25" i="12"/>
  <c r="I25" i="12"/>
  <c r="L21" i="12"/>
  <c r="K21" i="12"/>
  <c r="J21" i="12"/>
  <c r="I21" i="12"/>
  <c r="N21" i="12"/>
  <c r="M21" i="12"/>
  <c r="L17" i="12"/>
  <c r="I17" i="12"/>
  <c r="N17" i="12"/>
  <c r="K17" i="12"/>
  <c r="J17" i="12"/>
  <c r="M17" i="12"/>
  <c r="N13" i="12"/>
  <c r="L13" i="12"/>
  <c r="K13" i="12"/>
  <c r="I13" i="12"/>
  <c r="J13" i="12"/>
  <c r="M13" i="12"/>
  <c r="N9" i="12"/>
  <c r="J9" i="12"/>
  <c r="L9" i="12"/>
  <c r="I9" i="12"/>
  <c r="K9" i="12"/>
  <c r="M9" i="12"/>
  <c r="N3" i="12"/>
  <c r="L3" i="12"/>
  <c r="K3" i="12"/>
  <c r="I3" i="12"/>
  <c r="J3" i="12"/>
  <c r="M3" i="12"/>
  <c r="J96" i="12"/>
  <c r="I96" i="12"/>
  <c r="L96" i="12"/>
  <c r="K96" i="12"/>
  <c r="N96" i="12"/>
  <c r="M96" i="12"/>
  <c r="C88" i="12"/>
  <c r="K88" i="12"/>
  <c r="N88" i="12"/>
  <c r="M88" i="12"/>
  <c r="I88" i="12"/>
  <c r="L88" i="12"/>
  <c r="J88" i="12"/>
  <c r="L80" i="12"/>
  <c r="K80" i="12"/>
  <c r="I80" i="12"/>
  <c r="J80" i="12"/>
  <c r="N80" i="12"/>
  <c r="M80" i="12"/>
  <c r="C65" i="12"/>
  <c r="K65" i="12"/>
  <c r="M65" i="12"/>
  <c r="L65" i="12"/>
  <c r="N65" i="12"/>
  <c r="I65" i="12"/>
  <c r="J65" i="12"/>
  <c r="K55" i="12"/>
  <c r="J55" i="12"/>
  <c r="N55" i="12"/>
  <c r="M55" i="12"/>
  <c r="L55" i="12"/>
  <c r="I55" i="12"/>
  <c r="K47" i="12"/>
  <c r="J47" i="12"/>
  <c r="N47" i="12"/>
  <c r="M47" i="12"/>
  <c r="L47" i="12"/>
  <c r="I47" i="12"/>
  <c r="K39" i="12"/>
  <c r="J39" i="12"/>
  <c r="M39" i="12"/>
  <c r="L39" i="12"/>
  <c r="I39" i="12"/>
  <c r="N39" i="12"/>
  <c r="J31" i="12"/>
  <c r="N31" i="12"/>
  <c r="M31" i="12"/>
  <c r="L31" i="12"/>
  <c r="K31" i="12"/>
  <c r="I31" i="12"/>
  <c r="K23" i="12"/>
  <c r="J23" i="12"/>
  <c r="N23" i="12"/>
  <c r="M23" i="12"/>
  <c r="L23" i="12"/>
  <c r="I23" i="12"/>
  <c r="K15" i="12"/>
  <c r="N15" i="12"/>
  <c r="J15" i="12"/>
  <c r="L15" i="12"/>
  <c r="I15" i="12"/>
  <c r="M15" i="12"/>
  <c r="L95" i="12"/>
  <c r="N95" i="12"/>
  <c r="K95" i="12"/>
  <c r="J95" i="12"/>
  <c r="I95" i="12"/>
  <c r="M95" i="12"/>
  <c r="J87" i="12"/>
  <c r="L87" i="12"/>
  <c r="K87" i="12"/>
  <c r="N87" i="12"/>
  <c r="I87" i="12"/>
  <c r="M87" i="12"/>
  <c r="K79" i="12"/>
  <c r="J79" i="12"/>
  <c r="N79" i="12"/>
  <c r="L79" i="12"/>
  <c r="I79" i="12"/>
  <c r="M79" i="12"/>
  <c r="C64" i="12"/>
  <c r="K64" i="12"/>
  <c r="L64" i="12"/>
  <c r="J64" i="12"/>
  <c r="I64" i="12"/>
  <c r="N64" i="12"/>
  <c r="M64" i="12"/>
  <c r="K39" i="34"/>
  <c r="N54" i="12"/>
  <c r="K54" i="12"/>
  <c r="M54" i="12"/>
  <c r="I54" i="12"/>
  <c r="L54" i="12"/>
  <c r="J54" i="12"/>
  <c r="N46" i="12"/>
  <c r="K46" i="12"/>
  <c r="M46" i="12"/>
  <c r="L46" i="12"/>
  <c r="I46" i="12"/>
  <c r="J46" i="12"/>
  <c r="K30" i="34"/>
  <c r="N38" i="12"/>
  <c r="K38" i="12"/>
  <c r="M38" i="12"/>
  <c r="I38" i="12"/>
  <c r="L38" i="12"/>
  <c r="J38" i="12"/>
  <c r="N30" i="12"/>
  <c r="J30" i="12"/>
  <c r="M30" i="12"/>
  <c r="L30" i="12"/>
  <c r="K30" i="12"/>
  <c r="I30" i="12"/>
  <c r="N22" i="12"/>
  <c r="J22" i="12"/>
  <c r="I22" i="12"/>
  <c r="L22" i="12"/>
  <c r="K22" i="12"/>
  <c r="M22" i="12"/>
  <c r="N14" i="12"/>
  <c r="J14" i="12"/>
  <c r="L14" i="12"/>
  <c r="I14" i="12"/>
  <c r="K14" i="12"/>
  <c r="M14" i="12"/>
  <c r="K5" i="12"/>
  <c r="M5" i="12"/>
  <c r="N5" i="12"/>
  <c r="L5" i="12"/>
  <c r="J5" i="12"/>
  <c r="I5" i="12"/>
  <c r="J97" i="12"/>
  <c r="L97" i="12"/>
  <c r="K97" i="12"/>
  <c r="N97" i="12"/>
  <c r="I97" i="12"/>
  <c r="M97" i="12"/>
  <c r="J93" i="12"/>
  <c r="N93" i="12"/>
  <c r="L93" i="12"/>
  <c r="K93" i="12"/>
  <c r="I93" i="12"/>
  <c r="M93" i="12"/>
  <c r="C89" i="12"/>
  <c r="K89" i="12"/>
  <c r="J89" i="12"/>
  <c r="N89" i="12"/>
  <c r="M89" i="12"/>
  <c r="L89" i="12"/>
  <c r="I89" i="12"/>
  <c r="K65" i="34"/>
  <c r="M85" i="12"/>
  <c r="L85" i="12"/>
  <c r="K85" i="12"/>
  <c r="J85" i="12"/>
  <c r="N85" i="12"/>
  <c r="I85" i="12"/>
  <c r="J81" i="12"/>
  <c r="I81" i="12"/>
  <c r="N81" i="12"/>
  <c r="L81" i="12"/>
  <c r="K81" i="12"/>
  <c r="M81" i="12"/>
  <c r="K57" i="34"/>
  <c r="K77" i="12"/>
  <c r="N77" i="12"/>
  <c r="M77" i="12"/>
  <c r="L77" i="12"/>
  <c r="J77" i="12"/>
  <c r="I77" i="12"/>
  <c r="K53" i="34"/>
  <c r="K73" i="12"/>
  <c r="M73" i="12"/>
  <c r="N73" i="12"/>
  <c r="L73" i="12"/>
  <c r="J73" i="12"/>
  <c r="I73" i="12"/>
  <c r="K44" i="34"/>
  <c r="K60" i="12"/>
  <c r="L60" i="12"/>
  <c r="J60" i="12"/>
  <c r="I60" i="12"/>
  <c r="M60" i="12"/>
  <c r="N60" i="12"/>
  <c r="K40" i="34"/>
  <c r="K56" i="12"/>
  <c r="N56" i="12"/>
  <c r="L56" i="12"/>
  <c r="J56" i="12"/>
  <c r="I56" i="12"/>
  <c r="M56" i="12"/>
  <c r="K52" i="12"/>
  <c r="L52" i="12"/>
  <c r="N52" i="12"/>
  <c r="J52" i="12"/>
  <c r="I52" i="12"/>
  <c r="M52" i="12"/>
  <c r="K35" i="34"/>
  <c r="K48" i="12"/>
  <c r="L48" i="12"/>
  <c r="J48" i="12"/>
  <c r="I48" i="12"/>
  <c r="N48" i="12"/>
  <c r="M48" i="12"/>
  <c r="K44" i="12"/>
  <c r="L44" i="12"/>
  <c r="J44" i="12"/>
  <c r="I44" i="12"/>
  <c r="N44" i="12"/>
  <c r="M44" i="12"/>
  <c r="K31" i="34"/>
  <c r="K40" i="12"/>
  <c r="N40" i="12"/>
  <c r="L40" i="12"/>
  <c r="J40" i="12"/>
  <c r="I40" i="12"/>
  <c r="M40" i="12"/>
  <c r="J36" i="12"/>
  <c r="K36" i="12"/>
  <c r="N36" i="12"/>
  <c r="I36" i="12"/>
  <c r="M36" i="12"/>
  <c r="L36" i="12"/>
  <c r="J32" i="12"/>
  <c r="M32" i="12"/>
  <c r="I32" i="12"/>
  <c r="L32" i="12"/>
  <c r="K32" i="12"/>
  <c r="N32" i="12"/>
  <c r="M28" i="12"/>
  <c r="L28" i="12"/>
  <c r="I28" i="12"/>
  <c r="K28" i="12"/>
  <c r="J28" i="12"/>
  <c r="N28" i="12"/>
  <c r="N24" i="12"/>
  <c r="K24" i="12"/>
  <c r="J24" i="12"/>
  <c r="I24" i="12"/>
  <c r="M24" i="12"/>
  <c r="L24" i="12"/>
  <c r="L20" i="12"/>
  <c r="N20" i="12"/>
  <c r="K20" i="12"/>
  <c r="I20" i="12"/>
  <c r="J20" i="12"/>
  <c r="M20" i="12"/>
  <c r="L16" i="12"/>
  <c r="K16" i="12"/>
  <c r="I16" i="12"/>
  <c r="J16" i="12"/>
  <c r="N16" i="12"/>
  <c r="M16" i="12"/>
  <c r="K12" i="12"/>
  <c r="I12" i="12"/>
  <c r="N12" i="12"/>
  <c r="J12" i="12"/>
  <c r="L12" i="12"/>
  <c r="M12" i="12"/>
  <c r="N8" i="12"/>
  <c r="L8" i="12"/>
  <c r="I8" i="12"/>
  <c r="K8" i="12"/>
  <c r="J8" i="12"/>
  <c r="M8" i="12"/>
  <c r="C94" i="12"/>
  <c r="K72" i="34"/>
  <c r="C86" i="12"/>
  <c r="K66" i="34"/>
  <c r="C96" i="12"/>
  <c r="K74" i="34"/>
  <c r="C92" i="12"/>
  <c r="K70" i="34"/>
  <c r="C84" i="12"/>
  <c r="K64" i="34"/>
  <c r="C80" i="12"/>
  <c r="K60" i="34"/>
  <c r="C95" i="12"/>
  <c r="K73" i="34"/>
  <c r="C91" i="12"/>
  <c r="K69" i="34"/>
  <c r="C87" i="12"/>
  <c r="K67" i="34"/>
  <c r="C83" i="12"/>
  <c r="K63" i="34"/>
  <c r="C79" i="12"/>
  <c r="K59" i="34"/>
  <c r="C75" i="12"/>
  <c r="K55" i="34"/>
  <c r="C98" i="12"/>
  <c r="K76" i="34"/>
  <c r="C90" i="12"/>
  <c r="K68" i="34"/>
  <c r="C82" i="12"/>
  <c r="K62" i="34"/>
  <c r="C97" i="12"/>
  <c r="K75" i="34"/>
  <c r="C93" i="12"/>
  <c r="K71" i="34"/>
  <c r="C81" i="12"/>
  <c r="K61" i="34"/>
  <c r="K20" i="34"/>
  <c r="K28" i="34"/>
  <c r="K25" i="34"/>
  <c r="K27" i="34"/>
  <c r="K21" i="34"/>
  <c r="K26" i="34"/>
  <c r="C74" i="12"/>
  <c r="C76" i="12"/>
  <c r="C99" i="12"/>
  <c r="C78" i="12"/>
  <c r="C85" i="12"/>
  <c r="C77" i="12"/>
  <c r="C73" i="12"/>
  <c r="G37" i="33"/>
  <c r="G31" i="33"/>
  <c r="K2" i="34"/>
  <c r="G2" i="33"/>
  <c r="G39" i="33"/>
  <c r="G35" i="33"/>
  <c r="G30" i="33"/>
  <c r="G26" i="33"/>
  <c r="K23" i="34"/>
  <c r="G21" i="33"/>
  <c r="K16" i="34"/>
  <c r="G16" i="33"/>
  <c r="K12" i="34"/>
  <c r="G12" i="33"/>
  <c r="K5" i="34"/>
  <c r="G5" i="33"/>
  <c r="G38" i="33"/>
  <c r="G34" i="33"/>
  <c r="G32" i="33"/>
  <c r="G29" i="33"/>
  <c r="G25" i="33"/>
  <c r="G24" i="33"/>
  <c r="K22" i="34"/>
  <c r="G20" i="33"/>
  <c r="K19" i="34"/>
  <c r="G19" i="33"/>
  <c r="K15" i="34"/>
  <c r="G15" i="33"/>
  <c r="K11" i="34"/>
  <c r="G11" i="33"/>
  <c r="K8" i="34"/>
  <c r="G8" i="33"/>
  <c r="G41" i="33"/>
  <c r="G33" i="33"/>
  <c r="G28" i="33"/>
  <c r="G23" i="33"/>
  <c r="K24" i="34"/>
  <c r="G22" i="33"/>
  <c r="K18" i="34"/>
  <c r="G18" i="33"/>
  <c r="K14" i="34"/>
  <c r="G14" i="33"/>
  <c r="K10" i="34"/>
  <c r="G10" i="33"/>
  <c r="K7" i="34"/>
  <c r="G7" i="33"/>
  <c r="K3" i="34"/>
  <c r="G3" i="33"/>
  <c r="G40" i="33"/>
  <c r="G36" i="33"/>
  <c r="G27" i="33"/>
  <c r="K17" i="34"/>
  <c r="G17" i="33"/>
  <c r="K13" i="34"/>
  <c r="G13" i="33"/>
  <c r="K9" i="34"/>
  <c r="G9" i="33"/>
  <c r="K6" i="34"/>
  <c r="G6" i="33"/>
  <c r="K47" i="29"/>
  <c r="K79" i="29"/>
  <c r="K81" i="29"/>
  <c r="K48" i="29"/>
  <c r="K80" i="29"/>
  <c r="K83" i="29"/>
  <c r="K82" i="29"/>
  <c r="K76" i="29"/>
  <c r="K66" i="29"/>
  <c r="K55" i="29"/>
  <c r="K35" i="29"/>
  <c r="K31" i="29"/>
  <c r="K29" i="29"/>
  <c r="K26" i="29"/>
  <c r="G17" i="28"/>
  <c r="K17" i="29"/>
  <c r="G13" i="28"/>
  <c r="K13" i="29"/>
  <c r="G9" i="28"/>
  <c r="K9" i="29"/>
  <c r="G6" i="28"/>
  <c r="K6" i="29"/>
  <c r="K72" i="29"/>
  <c r="K69" i="29"/>
  <c r="G27" i="28"/>
  <c r="K63" i="29"/>
  <c r="K59" i="29"/>
  <c r="K46" i="29"/>
  <c r="K42" i="29"/>
  <c r="K37" i="29"/>
  <c r="G2" i="28"/>
  <c r="K2" i="29"/>
  <c r="G40" i="28"/>
  <c r="K75" i="29"/>
  <c r="G36" i="28"/>
  <c r="K71" i="29"/>
  <c r="G30" i="28"/>
  <c r="K65" i="29"/>
  <c r="G26" i="28"/>
  <c r="K58" i="29"/>
  <c r="K45" i="29"/>
  <c r="K41" i="29"/>
  <c r="K34" i="29"/>
  <c r="G21" i="28"/>
  <c r="K23" i="29"/>
  <c r="K20" i="29"/>
  <c r="G16" i="28"/>
  <c r="K16" i="29"/>
  <c r="G12" i="28"/>
  <c r="K12" i="29"/>
  <c r="G5" i="28"/>
  <c r="K5" i="29"/>
  <c r="K78" i="29"/>
  <c r="K74" i="29"/>
  <c r="K70" i="29"/>
  <c r="G33" i="28"/>
  <c r="K68" i="29"/>
  <c r="G29" i="28"/>
  <c r="G25" i="28"/>
  <c r="K61" i="29"/>
  <c r="G24" i="28"/>
  <c r="K57" i="29"/>
  <c r="K44" i="29"/>
  <c r="K39" i="29"/>
  <c r="K33" i="29"/>
  <c r="K28" i="29"/>
  <c r="K25" i="29"/>
  <c r="G20" i="28"/>
  <c r="K22" i="29"/>
  <c r="G19" i="28"/>
  <c r="K19" i="29"/>
  <c r="G15" i="28"/>
  <c r="K15" i="29"/>
  <c r="G11" i="28"/>
  <c r="K11" i="29"/>
  <c r="G8" i="28"/>
  <c r="K8" i="29"/>
  <c r="K77" i="29"/>
  <c r="K73" i="29"/>
  <c r="K67" i="29"/>
  <c r="G28" i="28"/>
  <c r="K64" i="29"/>
  <c r="K60" i="29"/>
  <c r="K56" i="29"/>
  <c r="K43" i="29"/>
  <c r="K40" i="29"/>
  <c r="K38" i="29"/>
  <c r="K36" i="29"/>
  <c r="K32" i="29"/>
  <c r="G23" i="28"/>
  <c r="K30" i="29"/>
  <c r="K27" i="29"/>
  <c r="G22" i="28"/>
  <c r="K24" i="29"/>
  <c r="K21" i="29"/>
  <c r="G18" i="28"/>
  <c r="K18" i="29"/>
  <c r="G14" i="28"/>
  <c r="K14" i="29"/>
  <c r="G10" i="28"/>
  <c r="K10" i="29"/>
  <c r="G7" i="28"/>
  <c r="K7" i="29"/>
  <c r="G3" i="28"/>
  <c r="K3" i="29"/>
  <c r="G35" i="28"/>
  <c r="G39" i="28"/>
  <c r="G34" i="28"/>
  <c r="G38" i="28"/>
  <c r="G32" i="28"/>
  <c r="G41" i="28"/>
  <c r="G37" i="28"/>
  <c r="G31" i="28"/>
  <c r="G2" i="26"/>
  <c r="G36" i="26"/>
  <c r="G30" i="26"/>
  <c r="G26" i="26"/>
  <c r="K59" i="25"/>
  <c r="K48" i="25"/>
  <c r="K44" i="25"/>
  <c r="K38" i="25"/>
  <c r="K35" i="25"/>
  <c r="K31" i="25"/>
  <c r="K24" i="25"/>
  <c r="K19" i="25"/>
  <c r="G5" i="26"/>
  <c r="G39" i="26"/>
  <c r="G35" i="26"/>
  <c r="G33" i="26"/>
  <c r="G29" i="26"/>
  <c r="G25" i="26"/>
  <c r="G24" i="26"/>
  <c r="K47" i="25"/>
  <c r="K43" i="25"/>
  <c r="K41" i="25"/>
  <c r="K34" i="25"/>
  <c r="K30" i="25"/>
  <c r="K27" i="25"/>
  <c r="K23" i="25"/>
  <c r="G20" i="26"/>
  <c r="G38" i="26"/>
  <c r="G34" i="26"/>
  <c r="G32" i="26"/>
  <c r="G28" i="26"/>
  <c r="K61" i="25"/>
  <c r="K57" i="25"/>
  <c r="K46" i="25"/>
  <c r="K42" i="25"/>
  <c r="K40" i="25"/>
  <c r="K37" i="25"/>
  <c r="K33" i="25"/>
  <c r="G23" i="26"/>
  <c r="K26" i="25"/>
  <c r="K20" i="25"/>
  <c r="G3" i="26"/>
  <c r="G37" i="26"/>
  <c r="K71" i="25"/>
  <c r="G31" i="26"/>
  <c r="G27" i="26"/>
  <c r="K60" i="25"/>
  <c r="K56" i="25"/>
  <c r="K55" i="25"/>
  <c r="K49" i="25"/>
  <c r="K45" i="25"/>
  <c r="K39" i="25"/>
  <c r="K36" i="25"/>
  <c r="K32" i="25"/>
  <c r="K28" i="25"/>
  <c r="K25" i="25"/>
  <c r="K79" i="25"/>
  <c r="G42" i="26"/>
  <c r="K22" i="25"/>
  <c r="G22" i="26"/>
  <c r="K17" i="25"/>
  <c r="G18" i="26"/>
  <c r="K13" i="25"/>
  <c r="G14" i="26"/>
  <c r="K9" i="25"/>
  <c r="G10" i="26"/>
  <c r="K6" i="25"/>
  <c r="G7" i="26"/>
  <c r="K78" i="25"/>
  <c r="G41" i="26"/>
  <c r="K16" i="25"/>
  <c r="G17" i="26"/>
  <c r="K12" i="25"/>
  <c r="G13" i="26"/>
  <c r="K8" i="25"/>
  <c r="G9" i="26"/>
  <c r="G6" i="26"/>
  <c r="K77" i="25"/>
  <c r="G40" i="26"/>
  <c r="K21" i="25"/>
  <c r="G21" i="26"/>
  <c r="K15" i="25"/>
  <c r="G16" i="26"/>
  <c r="K11" i="25"/>
  <c r="G12" i="26"/>
  <c r="K18" i="25"/>
  <c r="G19" i="26"/>
  <c r="K14" i="25"/>
  <c r="G15" i="26"/>
  <c r="K10" i="25"/>
  <c r="G11" i="26"/>
  <c r="K7" i="25"/>
  <c r="G8" i="26"/>
  <c r="G34" i="22"/>
  <c r="G28" i="22"/>
  <c r="K65" i="25"/>
  <c r="G37" i="22"/>
  <c r="K74" i="25"/>
  <c r="G31" i="22"/>
  <c r="K68" i="25"/>
  <c r="G2" i="22"/>
  <c r="K2" i="25"/>
  <c r="G36" i="22"/>
  <c r="K73" i="25"/>
  <c r="G30" i="22"/>
  <c r="K67" i="25"/>
  <c r="G26" i="22"/>
  <c r="K63" i="25"/>
  <c r="G4" i="22"/>
  <c r="K5" i="25"/>
  <c r="G38" i="22"/>
  <c r="K75" i="25"/>
  <c r="G32" i="22"/>
  <c r="K69" i="25"/>
  <c r="G22" i="22"/>
  <c r="K29" i="25"/>
  <c r="G3" i="22"/>
  <c r="K3" i="25"/>
  <c r="G27" i="22"/>
  <c r="K64" i="25"/>
  <c r="K83" i="21"/>
  <c r="K80" i="25"/>
  <c r="G39" i="22"/>
  <c r="K76" i="25"/>
  <c r="G35" i="22"/>
  <c r="K72" i="25"/>
  <c r="G33" i="22"/>
  <c r="K70" i="25"/>
  <c r="G29" i="22"/>
  <c r="K66" i="25"/>
  <c r="G25" i="22"/>
  <c r="K62" i="25"/>
  <c r="G24" i="22"/>
  <c r="K58" i="25"/>
  <c r="G19" i="22"/>
  <c r="G16" i="22"/>
  <c r="G12" i="22"/>
  <c r="G41" i="22"/>
  <c r="K81" i="21"/>
  <c r="G8" i="22"/>
  <c r="G5" i="22"/>
  <c r="K6" i="21"/>
  <c r="G40" i="22"/>
  <c r="K80" i="21"/>
  <c r="G20" i="22"/>
  <c r="G15" i="22"/>
  <c r="G11" i="22"/>
  <c r="J55" i="18"/>
  <c r="G42" i="22"/>
  <c r="K82" i="21"/>
  <c r="G23" i="22"/>
  <c r="G18" i="22"/>
  <c r="G14" i="22"/>
  <c r="G10" i="22"/>
  <c r="G7" i="22"/>
  <c r="G21" i="22"/>
  <c r="G17" i="22"/>
  <c r="G13" i="22"/>
  <c r="G9" i="22"/>
  <c r="G6" i="22"/>
  <c r="K77" i="21"/>
  <c r="K73" i="21"/>
  <c r="K69" i="21"/>
  <c r="K66" i="21"/>
  <c r="K62" i="21"/>
  <c r="K58" i="21"/>
  <c r="K54" i="21"/>
  <c r="K52" i="21"/>
  <c r="K48" i="21"/>
  <c r="K42" i="21"/>
  <c r="K40" i="21"/>
  <c r="K36" i="21"/>
  <c r="K32" i="21"/>
  <c r="K29" i="21"/>
  <c r="K26" i="21"/>
  <c r="K19" i="21"/>
  <c r="K15" i="21"/>
  <c r="K11" i="21"/>
  <c r="K7" i="21"/>
  <c r="K2" i="21"/>
  <c r="K76" i="21"/>
  <c r="K72" i="21"/>
  <c r="K65" i="21"/>
  <c r="K61" i="21"/>
  <c r="K57" i="21"/>
  <c r="K51" i="21"/>
  <c r="K47" i="21"/>
  <c r="K41" i="21"/>
  <c r="K39" i="21"/>
  <c r="K35" i="21"/>
  <c r="K28" i="21"/>
  <c r="K25" i="21"/>
  <c r="K22" i="21"/>
  <c r="K18" i="21"/>
  <c r="K14" i="21"/>
  <c r="K10" i="21"/>
  <c r="K5" i="21"/>
  <c r="K79" i="21"/>
  <c r="K75" i="21"/>
  <c r="K71" i="21"/>
  <c r="K68" i="21"/>
  <c r="K64" i="21"/>
  <c r="K60" i="21"/>
  <c r="K56" i="21"/>
  <c r="K50" i="21"/>
  <c r="K46" i="21"/>
  <c r="K44" i="21"/>
  <c r="K38" i="21"/>
  <c r="K34" i="21"/>
  <c r="K31" i="21"/>
  <c r="K24" i="21"/>
  <c r="K21" i="21"/>
  <c r="K17" i="21"/>
  <c r="K13" i="21"/>
  <c r="K9" i="21"/>
  <c r="K78" i="21"/>
  <c r="K74" i="21"/>
  <c r="K70" i="21"/>
  <c r="K67" i="21"/>
  <c r="K63" i="21"/>
  <c r="K59" i="21"/>
  <c r="K55" i="21"/>
  <c r="K49" i="21"/>
  <c r="K45" i="21"/>
  <c r="K43" i="21"/>
  <c r="K37" i="21"/>
  <c r="K33" i="21"/>
  <c r="K30" i="21"/>
  <c r="K27" i="21"/>
  <c r="K23" i="21"/>
  <c r="K20" i="21"/>
  <c r="K16" i="21"/>
  <c r="K12" i="21"/>
  <c r="K8" i="21"/>
  <c r="K3" i="21"/>
  <c r="J54" i="18"/>
  <c r="C2" i="12"/>
  <c r="D2" i="12"/>
  <c r="D92" i="12"/>
  <c r="D88" i="12"/>
  <c r="D84" i="12"/>
  <c r="D80" i="12"/>
  <c r="D76" i="12"/>
  <c r="D65" i="12"/>
  <c r="D59" i="12"/>
  <c r="C59" i="12"/>
  <c r="D55" i="12"/>
  <c r="C55" i="12"/>
  <c r="D51" i="12"/>
  <c r="C51" i="12"/>
  <c r="D47" i="12"/>
  <c r="C47" i="12"/>
  <c r="D43" i="12"/>
  <c r="C43" i="12"/>
  <c r="D39" i="12"/>
  <c r="C39" i="12"/>
  <c r="D35" i="12"/>
  <c r="C35" i="12"/>
  <c r="D31" i="12"/>
  <c r="C31" i="12"/>
  <c r="C27" i="12"/>
  <c r="D27" i="12"/>
  <c r="K22" i="18"/>
  <c r="C23" i="12"/>
  <c r="D23" i="12"/>
  <c r="C19" i="12"/>
  <c r="D19" i="12"/>
  <c r="D15" i="12"/>
  <c r="C15" i="12"/>
  <c r="C11" i="12"/>
  <c r="D11" i="12"/>
  <c r="C6" i="12"/>
  <c r="D6" i="12"/>
  <c r="K79" i="18"/>
  <c r="D97" i="12"/>
  <c r="D93" i="12"/>
  <c r="D89" i="12"/>
  <c r="D85" i="12"/>
  <c r="D81" i="12"/>
  <c r="D77" i="12"/>
  <c r="D73" i="12"/>
  <c r="D60" i="12"/>
  <c r="C60" i="12"/>
  <c r="D56" i="12"/>
  <c r="C56" i="12"/>
  <c r="D52" i="12"/>
  <c r="C52" i="12"/>
  <c r="D48" i="12"/>
  <c r="C48" i="12"/>
  <c r="D44" i="12"/>
  <c r="C44" i="12"/>
  <c r="D40" i="12"/>
  <c r="C40" i="12"/>
  <c r="D36" i="12"/>
  <c r="C36" i="12"/>
  <c r="D32" i="12"/>
  <c r="C32" i="12"/>
  <c r="D28" i="12"/>
  <c r="C28" i="12"/>
  <c r="C24" i="12"/>
  <c r="D24" i="12"/>
  <c r="C20" i="12"/>
  <c r="D20" i="12"/>
  <c r="C16" i="12"/>
  <c r="D16" i="12"/>
  <c r="C12" i="12"/>
  <c r="D12" i="12"/>
  <c r="C8" i="12"/>
  <c r="D8" i="12"/>
  <c r="K78" i="18"/>
  <c r="D96" i="12"/>
  <c r="K80" i="18"/>
  <c r="D98" i="12"/>
  <c r="D94" i="12"/>
  <c r="D90" i="12"/>
  <c r="D86" i="12"/>
  <c r="K65" i="18"/>
  <c r="D82" i="12"/>
  <c r="D78" i="12"/>
  <c r="D74" i="12"/>
  <c r="D63" i="12"/>
  <c r="D57" i="12"/>
  <c r="C57" i="12"/>
  <c r="C53" i="12"/>
  <c r="D53" i="12"/>
  <c r="D49" i="12"/>
  <c r="C49" i="12"/>
  <c r="C45" i="12"/>
  <c r="D45" i="12"/>
  <c r="D41" i="12"/>
  <c r="C41" i="12"/>
  <c r="K34" i="18"/>
  <c r="C37" i="12"/>
  <c r="D37" i="12"/>
  <c r="D33" i="12"/>
  <c r="C33" i="12"/>
  <c r="G21" i="17"/>
  <c r="C29" i="12"/>
  <c r="D29" i="12"/>
  <c r="D25" i="12"/>
  <c r="C25" i="12"/>
  <c r="G17" i="17"/>
  <c r="D21" i="12"/>
  <c r="C21" i="12"/>
  <c r="G13" i="17"/>
  <c r="D17" i="12"/>
  <c r="C17" i="12"/>
  <c r="D13" i="12"/>
  <c r="C13" i="12"/>
  <c r="G6" i="17"/>
  <c r="D9" i="12"/>
  <c r="C9" i="12"/>
  <c r="G3" i="17"/>
  <c r="C3" i="12"/>
  <c r="D3" i="12"/>
  <c r="K81" i="18"/>
  <c r="D99" i="12"/>
  <c r="G39" i="17"/>
  <c r="D95" i="12"/>
  <c r="G35" i="17"/>
  <c r="D91" i="12"/>
  <c r="D87" i="12"/>
  <c r="G29" i="17"/>
  <c r="D83" i="12"/>
  <c r="G25" i="17"/>
  <c r="D79" i="12"/>
  <c r="G24" i="17"/>
  <c r="D75" i="12"/>
  <c r="D64" i="12"/>
  <c r="D58" i="12"/>
  <c r="C58" i="12"/>
  <c r="D54" i="12"/>
  <c r="C54" i="12"/>
  <c r="D50" i="12"/>
  <c r="C50" i="12"/>
  <c r="D46" i="12"/>
  <c r="C46" i="12"/>
  <c r="D42" i="12"/>
  <c r="C42" i="12"/>
  <c r="D38" i="12"/>
  <c r="C38" i="12"/>
  <c r="D34" i="12"/>
  <c r="C34" i="12"/>
  <c r="D30" i="12"/>
  <c r="C30" i="12"/>
  <c r="C26" i="12"/>
  <c r="D26" i="12"/>
  <c r="C22" i="12"/>
  <c r="D22" i="12"/>
  <c r="C18" i="12"/>
  <c r="D18" i="12"/>
  <c r="C14" i="12"/>
  <c r="D14" i="12"/>
  <c r="C10" i="12"/>
  <c r="D10" i="12"/>
  <c r="D5" i="12"/>
  <c r="C5" i="12"/>
  <c r="J13" i="18"/>
  <c r="J17" i="18"/>
  <c r="J21" i="18"/>
  <c r="J25" i="18"/>
  <c r="J29" i="18"/>
  <c r="J33" i="18"/>
  <c r="J37" i="18"/>
  <c r="J41" i="18"/>
  <c r="J45" i="18"/>
  <c r="J49" i="18"/>
  <c r="J53" i="18"/>
  <c r="J59" i="18"/>
  <c r="J63" i="18"/>
  <c r="J67" i="18"/>
  <c r="J71" i="18"/>
  <c r="J79" i="18"/>
  <c r="J16" i="18"/>
  <c r="J24" i="18"/>
  <c r="J32" i="18"/>
  <c r="J40" i="18"/>
  <c r="J48" i="18"/>
  <c r="J58" i="18"/>
  <c r="J66" i="18"/>
  <c r="J74" i="18"/>
  <c r="J3" i="18"/>
  <c r="J2" i="18"/>
  <c r="J15" i="18"/>
  <c r="J23" i="18"/>
  <c r="J31" i="18"/>
  <c r="J39" i="18"/>
  <c r="J47" i="18"/>
  <c r="J57" i="18"/>
  <c r="J65" i="18"/>
  <c r="J73" i="18"/>
  <c r="J81" i="18"/>
  <c r="J10" i="18"/>
  <c r="J14" i="18"/>
  <c r="J18" i="18"/>
  <c r="J22" i="18"/>
  <c r="J26" i="18"/>
  <c r="J30" i="18"/>
  <c r="J34" i="18"/>
  <c r="J38" i="18"/>
  <c r="J42" i="18"/>
  <c r="J46" i="18"/>
  <c r="J50" i="18"/>
  <c r="J56" i="18"/>
  <c r="J60" i="18"/>
  <c r="J64" i="18"/>
  <c r="J68" i="18"/>
  <c r="J72" i="18"/>
  <c r="J76" i="18"/>
  <c r="J80" i="18"/>
  <c r="J5" i="18"/>
  <c r="J9" i="18"/>
  <c r="J75" i="18"/>
  <c r="J4" i="18"/>
  <c r="J8" i="18"/>
  <c r="J12" i="18"/>
  <c r="J20" i="18"/>
  <c r="J28" i="18"/>
  <c r="J36" i="18"/>
  <c r="J44" i="18"/>
  <c r="J52" i="18"/>
  <c r="J62" i="18"/>
  <c r="J70" i="18"/>
  <c r="J78" i="18"/>
  <c r="J7" i="18"/>
  <c r="J11" i="18"/>
  <c r="J19" i="18"/>
  <c r="J27" i="18"/>
  <c r="J35" i="18"/>
  <c r="J43" i="18"/>
  <c r="J51" i="18"/>
  <c r="J61" i="18"/>
  <c r="J69" i="18"/>
  <c r="J77" i="18"/>
  <c r="J6" i="18"/>
  <c r="K12" i="18"/>
  <c r="K3" i="18"/>
  <c r="G33" i="17"/>
  <c r="K66" i="18"/>
  <c r="K49" i="18"/>
  <c r="K45" i="18"/>
  <c r="K25" i="18"/>
  <c r="G19" i="17"/>
  <c r="G18" i="17"/>
  <c r="K19" i="18"/>
  <c r="G14" i="17"/>
  <c r="K15" i="18"/>
  <c r="G10" i="17"/>
  <c r="K11" i="18"/>
  <c r="G7" i="17"/>
  <c r="K7" i="18"/>
  <c r="K4" i="18"/>
  <c r="K6" i="18"/>
  <c r="K62" i="18"/>
  <c r="K46" i="18"/>
  <c r="K30" i="18"/>
  <c r="K18" i="18"/>
  <c r="K77" i="18"/>
  <c r="K57" i="18"/>
  <c r="K35" i="18"/>
  <c r="K26" i="18"/>
  <c r="K8" i="18"/>
  <c r="G4" i="17"/>
  <c r="G37" i="17"/>
  <c r="K71" i="18"/>
  <c r="G27" i="17"/>
  <c r="K61" i="18"/>
  <c r="K51" i="18"/>
  <c r="K43" i="18"/>
  <c r="K32" i="18"/>
  <c r="K23" i="18"/>
  <c r="G12" i="17"/>
  <c r="K13" i="18"/>
  <c r="G8" i="17"/>
  <c r="K9" i="18"/>
  <c r="G5" i="17"/>
  <c r="K5" i="18"/>
  <c r="K69" i="18"/>
  <c r="K56" i="18"/>
  <c r="K38" i="18"/>
  <c r="K24" i="18"/>
  <c r="G2" i="17"/>
  <c r="K2" i="18"/>
  <c r="G40" i="17"/>
  <c r="K74" i="18"/>
  <c r="G36" i="17"/>
  <c r="K70" i="18"/>
  <c r="G30" i="17"/>
  <c r="K63" i="18"/>
  <c r="G26" i="17"/>
  <c r="K60" i="18"/>
  <c r="K39" i="18"/>
  <c r="K31" i="18"/>
  <c r="G20" i="17"/>
  <c r="K20" i="18"/>
  <c r="G15" i="17"/>
  <c r="K16" i="18"/>
  <c r="G41" i="17"/>
  <c r="K75" i="18"/>
  <c r="K67" i="18"/>
  <c r="G31" i="17"/>
  <c r="K64" i="18"/>
  <c r="K58" i="18"/>
  <c r="K52" i="18"/>
  <c r="K47" i="18"/>
  <c r="K40" i="18"/>
  <c r="K36" i="18"/>
  <c r="K29" i="18"/>
  <c r="K27" i="18"/>
  <c r="K21" i="18"/>
  <c r="G16" i="17"/>
  <c r="K17" i="18"/>
  <c r="G42" i="17"/>
  <c r="K76" i="18"/>
  <c r="G38" i="17"/>
  <c r="K72" i="18"/>
  <c r="G34" i="17"/>
  <c r="K68" i="18"/>
  <c r="G28" i="17"/>
  <c r="K53" i="18"/>
  <c r="K48" i="18"/>
  <c r="K44" i="18"/>
  <c r="K41" i="18"/>
  <c r="K37" i="18"/>
  <c r="K33" i="18"/>
  <c r="G22" i="17"/>
  <c r="G9" i="17"/>
  <c r="K10" i="18"/>
  <c r="K50" i="18"/>
  <c r="K73" i="18"/>
  <c r="K59" i="18"/>
  <c r="K42" i="18"/>
  <c r="K28" i="18"/>
  <c r="K14" i="18"/>
  <c r="G11" i="17"/>
  <c r="G23" i="17"/>
  <c r="G32" i="17"/>
  <c r="F23" i="17"/>
  <c r="F2" i="17"/>
  <c r="F27" i="17"/>
  <c r="F11" i="17"/>
  <c r="F39" i="17"/>
  <c r="F7" i="17"/>
  <c r="F15" i="17"/>
  <c r="F35" i="17"/>
  <c r="F19" i="17"/>
  <c r="F3" i="17"/>
  <c r="F5" i="17"/>
  <c r="F31" i="17"/>
  <c r="F8" i="17"/>
  <c r="F42" i="17"/>
  <c r="F38" i="17"/>
  <c r="F34" i="17"/>
  <c r="F30" i="17"/>
  <c r="F26" i="17"/>
  <c r="F22" i="17"/>
  <c r="F18" i="17"/>
  <c r="F14" i="17"/>
  <c r="F10" i="17"/>
  <c r="F6" i="17"/>
  <c r="F40" i="17"/>
  <c r="F36" i="17"/>
  <c r="F32" i="17"/>
  <c r="F28" i="17"/>
  <c r="F24" i="17"/>
  <c r="F20" i="17"/>
  <c r="F16" i="17"/>
  <c r="F12" i="17"/>
  <c r="F4" i="17"/>
  <c r="F41" i="17"/>
  <c r="F37" i="17"/>
  <c r="F33" i="17"/>
  <c r="F29" i="17"/>
  <c r="F25" i="17"/>
  <c r="F21" i="17"/>
  <c r="F17" i="17"/>
  <c r="F13" i="17"/>
  <c r="F9" i="17"/>
  <c r="H100" i="12" l="1"/>
  <c r="P35" i="12"/>
  <c r="O5" i="12"/>
  <c r="O88" i="12"/>
  <c r="V88" i="12" s="1"/>
  <c r="O28" i="12"/>
  <c r="V28" i="12" s="1"/>
  <c r="O65" i="12"/>
  <c r="V65" i="12" s="1"/>
  <c r="O78" i="12"/>
  <c r="V78" i="12" s="1"/>
  <c r="O36" i="12"/>
  <c r="V36" i="12" s="1"/>
  <c r="O44" i="12"/>
  <c r="O30" i="12"/>
  <c r="O87" i="12"/>
  <c r="V87" i="12" s="1"/>
  <c r="O15" i="12"/>
  <c r="O23" i="12"/>
  <c r="O55" i="12"/>
  <c r="O9" i="12"/>
  <c r="O17" i="12"/>
  <c r="O33" i="12"/>
  <c r="V33" i="12" s="1"/>
  <c r="O82" i="12"/>
  <c r="V82" i="12" s="1"/>
  <c r="O90" i="12"/>
  <c r="V90" i="12" s="1"/>
  <c r="O98" i="12"/>
  <c r="V98" i="12" s="1"/>
  <c r="O18" i="12"/>
  <c r="O50" i="12"/>
  <c r="O11" i="12"/>
  <c r="O84" i="12"/>
  <c r="V84" i="12" s="1"/>
  <c r="O76" i="12"/>
  <c r="V76" i="12" s="1"/>
  <c r="O97" i="12"/>
  <c r="V97" i="12" s="1"/>
  <c r="O57" i="12"/>
  <c r="O8" i="12"/>
  <c r="O16" i="12"/>
  <c r="O52" i="12"/>
  <c r="O73" i="12"/>
  <c r="V73" i="12" s="1"/>
  <c r="O14" i="12"/>
  <c r="O39" i="12"/>
  <c r="V39" i="12" s="1"/>
  <c r="O41" i="12"/>
  <c r="V41" i="12" s="1"/>
  <c r="O63" i="12"/>
  <c r="V63" i="12" s="1"/>
  <c r="O42" i="12"/>
  <c r="O75" i="12"/>
  <c r="V75" i="12" s="1"/>
  <c r="F100" i="12"/>
  <c r="O24" i="12"/>
  <c r="O48" i="12"/>
  <c r="O85" i="12"/>
  <c r="V85" i="12" s="1"/>
  <c r="O89" i="12"/>
  <c r="V89" i="12" s="1"/>
  <c r="O38" i="12"/>
  <c r="V38" i="12" s="1"/>
  <c r="O79" i="12"/>
  <c r="V79" i="12" s="1"/>
  <c r="O95" i="12"/>
  <c r="V95" i="12" s="1"/>
  <c r="O47" i="12"/>
  <c r="O3" i="12"/>
  <c r="O13" i="12"/>
  <c r="O21" i="12"/>
  <c r="O25" i="12"/>
  <c r="O29" i="12"/>
  <c r="V29" i="12" s="1"/>
  <c r="O37" i="12"/>
  <c r="O49" i="12"/>
  <c r="O86" i="12"/>
  <c r="V86" i="12" s="1"/>
  <c r="O94" i="12"/>
  <c r="V94" i="12" s="1"/>
  <c r="O10" i="12"/>
  <c r="O26" i="12"/>
  <c r="O35" i="12"/>
  <c r="V35" i="12" s="1"/>
  <c r="O51" i="12"/>
  <c r="O92" i="12"/>
  <c r="V92" i="12" s="1"/>
  <c r="G100" i="12"/>
  <c r="O96" i="12"/>
  <c r="V96" i="12" s="1"/>
  <c r="E100" i="12"/>
  <c r="O32" i="12"/>
  <c r="O40" i="12"/>
  <c r="V40" i="12" s="1"/>
  <c r="O46" i="12"/>
  <c r="O53" i="12"/>
  <c r="O74" i="12"/>
  <c r="V74" i="12" s="1"/>
  <c r="O83" i="12"/>
  <c r="V83" i="12" s="1"/>
  <c r="O27" i="12"/>
  <c r="V27" i="12" s="1"/>
  <c r="O12" i="12"/>
  <c r="O20" i="12"/>
  <c r="O56" i="12"/>
  <c r="O60" i="12"/>
  <c r="O77" i="12"/>
  <c r="V77" i="12" s="1"/>
  <c r="O81" i="12"/>
  <c r="V81" i="12" s="1"/>
  <c r="O93" i="12"/>
  <c r="V93" i="12" s="1"/>
  <c r="O22" i="12"/>
  <c r="O54" i="12"/>
  <c r="O64" i="12"/>
  <c r="V64" i="12" s="1"/>
  <c r="O31" i="12"/>
  <c r="O80" i="12"/>
  <c r="V80" i="12" s="1"/>
  <c r="O45" i="12"/>
  <c r="O34" i="12"/>
  <c r="V34" i="12" s="1"/>
  <c r="O58" i="12"/>
  <c r="O91" i="12"/>
  <c r="V91" i="12" s="1"/>
  <c r="O6" i="12"/>
  <c r="O19" i="12"/>
  <c r="O43" i="12"/>
  <c r="O59" i="12"/>
  <c r="J100" i="12"/>
  <c r="L100" i="12"/>
  <c r="M100" i="12"/>
  <c r="N100" i="12"/>
  <c r="I100" i="12"/>
  <c r="K100" i="12"/>
  <c r="P3" i="12"/>
  <c r="P4" i="12"/>
  <c r="F43" i="17"/>
  <c r="S4" i="12" l="1"/>
  <c r="R4" i="12" s="1"/>
  <c r="S7" i="12"/>
  <c r="R7" i="12" s="1"/>
  <c r="P33" i="12"/>
  <c r="S33" i="12" s="1"/>
  <c r="S35" i="12"/>
  <c r="P58" i="12"/>
  <c r="S58" i="12" s="1"/>
  <c r="P65" i="12"/>
  <c r="S65" i="12" s="1"/>
  <c r="P63" i="12"/>
  <c r="S63" i="12" s="1"/>
  <c r="P89" i="12"/>
  <c r="S89" i="12" s="1"/>
  <c r="R89" i="12" s="1"/>
  <c r="P11" i="12"/>
  <c r="S11" i="12" s="1"/>
  <c r="P78" i="12"/>
  <c r="S78" i="12" s="1"/>
  <c r="P64" i="12"/>
  <c r="S64" i="12" s="1"/>
  <c r="P24" i="12" l="1"/>
  <c r="S24" i="12" s="1"/>
  <c r="P88" i="12"/>
  <c r="S88" i="12" s="1"/>
  <c r="R88" i="12" s="1"/>
  <c r="R63" i="12" l="1"/>
  <c r="R33" i="12"/>
  <c r="R78" i="12"/>
  <c r="R35" i="12"/>
  <c r="R24" i="12" l="1"/>
  <c r="R64" i="12"/>
  <c r="R65" i="12"/>
  <c r="R58" i="12"/>
  <c r="R11" i="12"/>
  <c r="P8" i="12" l="1"/>
  <c r="S8" i="12" s="1"/>
  <c r="P62" i="12" l="1"/>
  <c r="S62" i="12" s="1"/>
  <c r="R62" i="12" s="1"/>
  <c r="P61" i="12"/>
  <c r="R61" i="12" s="1"/>
  <c r="W61" i="12" s="1"/>
  <c r="P51" i="12"/>
  <c r="S51" i="12" s="1"/>
  <c r="R51" i="12" l="1"/>
  <c r="P36" i="12" l="1"/>
  <c r="S36" i="12" s="1"/>
  <c r="R36" i="12" s="1"/>
  <c r="P30" i="12" l="1"/>
  <c r="P19" i="12"/>
  <c r="S19" i="12" s="1"/>
  <c r="P17" i="12"/>
  <c r="S17" i="12" s="1"/>
  <c r="P48" i="12"/>
  <c r="S48" i="12" s="1"/>
  <c r="P95" i="12"/>
  <c r="S95" i="12" s="1"/>
  <c r="P94" i="12"/>
  <c r="S94" i="12" s="1"/>
  <c r="P39" i="12"/>
  <c r="S39" i="12" s="1"/>
  <c r="P47" i="12"/>
  <c r="S47" i="12" s="1"/>
  <c r="P14" i="12"/>
  <c r="S14" i="12" s="1"/>
  <c r="P77" i="12"/>
  <c r="P49" i="12"/>
  <c r="S49" i="12" s="1"/>
  <c r="P31" i="12"/>
  <c r="P16" i="12"/>
  <c r="S16" i="12" s="1"/>
  <c r="P40" i="12"/>
  <c r="S40" i="12" s="1"/>
  <c r="P87" i="12"/>
  <c r="S87" i="12" s="1"/>
  <c r="P83" i="12"/>
  <c r="S83" i="12" s="1"/>
  <c r="P93" i="12"/>
  <c r="S93" i="12" s="1"/>
  <c r="P21" i="12"/>
  <c r="S21" i="12" s="1"/>
  <c r="P82" i="12"/>
  <c r="S82" i="12" s="1"/>
  <c r="P9" i="12"/>
  <c r="S9" i="12" s="1"/>
  <c r="P76" i="12"/>
  <c r="P75" i="12"/>
  <c r="S75" i="12" s="1"/>
  <c r="P12" i="12"/>
  <c r="S12" i="12" s="1"/>
  <c r="P74" i="12"/>
  <c r="S74" i="12" s="1"/>
  <c r="P37" i="12"/>
  <c r="P15" i="12"/>
  <c r="S15" i="12" s="1"/>
  <c r="P22" i="12"/>
  <c r="S22" i="12" s="1"/>
  <c r="P55" i="12"/>
  <c r="S55" i="12" s="1"/>
  <c r="P38" i="12"/>
  <c r="S38" i="12" s="1"/>
  <c r="P96" i="12"/>
  <c r="S96" i="12" s="1"/>
  <c r="P20" i="12"/>
  <c r="S20" i="12" s="1"/>
  <c r="P42" i="12"/>
  <c r="S42" i="12" s="1"/>
  <c r="P80" i="12"/>
  <c r="S80" i="12" s="1"/>
  <c r="P60" i="12"/>
  <c r="P59" i="12"/>
  <c r="S59" i="12" s="1"/>
  <c r="P29" i="12"/>
  <c r="S29" i="12" s="1"/>
  <c r="P84" i="12"/>
  <c r="S84" i="12" s="1"/>
  <c r="P25" i="12"/>
  <c r="S25" i="12" s="1"/>
  <c r="P81" i="12"/>
  <c r="S81" i="12" s="1"/>
  <c r="P86" i="12"/>
  <c r="S86" i="12" s="1"/>
  <c r="P56" i="12"/>
  <c r="S56" i="12" s="1"/>
  <c r="P6" i="12"/>
  <c r="S6" i="12" s="1"/>
  <c r="P90" i="12"/>
  <c r="S90" i="12" s="1"/>
  <c r="P79" i="12"/>
  <c r="S79" i="12" s="1"/>
  <c r="P32" i="12"/>
  <c r="P18" i="12"/>
  <c r="S18" i="12" s="1"/>
  <c r="P28" i="12"/>
  <c r="S28" i="12" s="1"/>
  <c r="P92" i="12"/>
  <c r="S92" i="12" s="1"/>
  <c r="P34" i="12"/>
  <c r="S34" i="12" s="1"/>
  <c r="P43" i="12"/>
  <c r="S43" i="12" s="1"/>
  <c r="P85" i="12"/>
  <c r="S85" i="12" s="1"/>
  <c r="P5" i="12"/>
  <c r="S5" i="12" s="1"/>
  <c r="R5" i="12" s="1"/>
  <c r="P53" i="12"/>
  <c r="S53" i="12" s="1"/>
  <c r="P26" i="12"/>
  <c r="S26" i="12" s="1"/>
  <c r="P73" i="12"/>
  <c r="S73" i="12" s="1"/>
  <c r="P97" i="12"/>
  <c r="S97" i="12" s="1"/>
  <c r="P44" i="12"/>
  <c r="S44" i="12" s="1"/>
  <c r="P50" i="12"/>
  <c r="S50" i="12" s="1"/>
  <c r="P46" i="12"/>
  <c r="S46" i="12" s="1"/>
  <c r="P27" i="12"/>
  <c r="S27" i="12" s="1"/>
  <c r="P57" i="12"/>
  <c r="S57" i="12" s="1"/>
  <c r="P45" i="12"/>
  <c r="S45" i="12" s="1"/>
  <c r="P10" i="12"/>
  <c r="S10" i="12" s="1"/>
  <c r="P23" i="12"/>
  <c r="S23" i="12" s="1"/>
  <c r="P91" i="12"/>
  <c r="S91" i="12" s="1"/>
  <c r="P54" i="12"/>
  <c r="S54" i="12" s="1"/>
  <c r="P13" i="12"/>
  <c r="S13" i="12" s="1"/>
  <c r="P52" i="12"/>
  <c r="S52" i="12" s="1"/>
  <c r="P41" i="12"/>
  <c r="S41" i="12" s="1"/>
  <c r="P99" i="12"/>
  <c r="S99" i="12" s="1"/>
  <c r="R99" i="12" s="1"/>
  <c r="O2" i="12"/>
  <c r="O100" i="12" s="1"/>
  <c r="R76" i="12" l="1"/>
  <c r="R77" i="12"/>
  <c r="S3" i="12"/>
  <c r="R3" i="12" s="1"/>
  <c r="P98" i="12"/>
  <c r="S98" i="12" s="1"/>
  <c r="P2" i="12"/>
  <c r="R55" i="12"/>
  <c r="R9" i="12"/>
  <c r="R54" i="12"/>
  <c r="R50" i="12"/>
  <c r="R39" i="12"/>
  <c r="R28" i="12"/>
  <c r="R90" i="12"/>
  <c r="R81" i="12"/>
  <c r="R59" i="12"/>
  <c r="R13" i="12"/>
  <c r="R46" i="12"/>
  <c r="R30" i="12"/>
  <c r="R38" i="12"/>
  <c r="R37" i="12"/>
  <c r="W37" i="12" s="1"/>
  <c r="R93" i="12"/>
  <c r="R52" i="12"/>
  <c r="R27" i="12"/>
  <c r="R8" i="12"/>
  <c r="R17" i="12"/>
  <c r="R92" i="12"/>
  <c r="R79" i="12"/>
  <c r="R86" i="12"/>
  <c r="R29" i="12"/>
  <c r="R41" i="12"/>
  <c r="R57" i="12"/>
  <c r="R53" i="12"/>
  <c r="R47" i="12"/>
  <c r="R96" i="12"/>
  <c r="R15" i="12"/>
  <c r="R75" i="12"/>
  <c r="R21" i="12"/>
  <c r="R40" i="12"/>
  <c r="R45" i="12"/>
  <c r="R26" i="12"/>
  <c r="R48" i="12"/>
  <c r="R34" i="12"/>
  <c r="R32" i="12"/>
  <c r="R56" i="12"/>
  <c r="R84" i="12"/>
  <c r="R80" i="12"/>
  <c r="R10" i="12"/>
  <c r="R73" i="12"/>
  <c r="R14" i="12"/>
  <c r="R42" i="12"/>
  <c r="R74" i="12"/>
  <c r="R83" i="12"/>
  <c r="R85" i="12"/>
  <c r="R19" i="12"/>
  <c r="R16" i="12"/>
  <c r="R20" i="12"/>
  <c r="R22" i="12"/>
  <c r="R12" i="12"/>
  <c r="R82" i="12"/>
  <c r="R87" i="12"/>
  <c r="R23" i="12"/>
  <c r="R97" i="12"/>
  <c r="R31" i="12"/>
  <c r="R94" i="12"/>
  <c r="R43" i="12"/>
  <c r="R18" i="12"/>
  <c r="R6" i="12"/>
  <c r="R25" i="12"/>
  <c r="R60" i="12"/>
  <c r="R91" i="12"/>
  <c r="R44" i="12"/>
  <c r="R49" i="12"/>
  <c r="R95" i="12"/>
  <c r="S2" i="12" l="1"/>
  <c r="S100" i="12" s="1"/>
  <c r="S101" i="12" s="1"/>
  <c r="P100" i="12"/>
  <c r="R98" i="12"/>
  <c r="R2" i="12" l="1"/>
  <c r="R100" i="12" s="1"/>
  <c r="G39" i="27"/>
  <c r="H31" i="27"/>
  <c r="H33" i="27"/>
  <c r="H9" i="27"/>
  <c r="H8" i="27"/>
  <c r="H21" i="27"/>
  <c r="H7" i="27"/>
  <c r="H14" i="27"/>
  <c r="H36" i="27"/>
  <c r="H23" i="27"/>
  <c r="H32" i="27"/>
  <c r="H29" i="27"/>
  <c r="H16" i="27"/>
  <c r="H35" i="27"/>
  <c r="H6" i="27"/>
  <c r="H34" i="27"/>
  <c r="H19" i="27"/>
  <c r="H27" i="27"/>
  <c r="H17" i="27"/>
  <c r="H37" i="27"/>
  <c r="H15" i="27"/>
  <c r="H13" i="27"/>
  <c r="H20" i="27"/>
  <c r="H18" i="27"/>
  <c r="H26" i="27"/>
  <c r="H30" i="27"/>
  <c r="H12" i="27"/>
  <c r="H10" i="27"/>
  <c r="H28" i="27"/>
  <c r="H38" i="27"/>
  <c r="H11" i="27"/>
  <c r="H25" i="27"/>
  <c r="H22" i="27"/>
  <c r="H24" i="27"/>
  <c r="B20" i="8" l="1"/>
  <c r="D3" i="8"/>
  <c r="D17" i="8"/>
  <c r="D8" i="8"/>
  <c r="D13" i="8"/>
  <c r="D14" i="8"/>
  <c r="D10" i="8"/>
  <c r="D16" i="8"/>
  <c r="D9" i="8"/>
  <c r="D12" i="8"/>
  <c r="D19" i="8"/>
  <c r="D15" i="8"/>
  <c r="D4" i="8"/>
  <c r="D18" i="8"/>
  <c r="D7" i="8"/>
  <c r="D6" i="8"/>
  <c r="D5" i="8"/>
  <c r="D11" i="8"/>
  <c r="Q101" i="12" l="1"/>
  <c r="B27" i="8"/>
  <c r="D20" i="8"/>
  <c r="R101" i="12" s="1"/>
  <c r="D27" i="8" l="1"/>
  <c r="G20" i="8"/>
  <c r="V9" i="12" l="1"/>
  <c r="V12" i="12"/>
  <c r="V54" i="12"/>
  <c r="V14" i="12"/>
  <c r="V45" i="12"/>
  <c r="V22" i="12"/>
  <c r="V5" i="12"/>
  <c r="V7" i="12"/>
  <c r="V10" i="12"/>
  <c r="W77" i="12"/>
  <c r="V48" i="12"/>
  <c r="V19" i="12"/>
  <c r="V56" i="12"/>
  <c r="V57" i="12"/>
  <c r="V3" i="12"/>
  <c r="V6" i="12"/>
  <c r="V15" i="12"/>
  <c r="V26" i="12"/>
  <c r="V43" i="12"/>
  <c r="V11" i="12"/>
  <c r="V42" i="12"/>
  <c r="V59" i="12"/>
  <c r="V17" i="12"/>
  <c r="V4" i="12"/>
  <c r="V21" i="12"/>
  <c r="V8" i="12"/>
  <c r="V16" i="12"/>
  <c r="V50" i="12"/>
  <c r="V51" i="12"/>
  <c r="V60" i="12"/>
  <c r="V20" i="12"/>
  <c r="V52" i="12"/>
  <c r="V25" i="12"/>
  <c r="V46" i="12"/>
  <c r="V55" i="12"/>
  <c r="V44" i="12"/>
  <c r="V18" i="12"/>
  <c r="V58" i="12"/>
  <c r="V24" i="12"/>
  <c r="V13" i="12"/>
  <c r="V2" i="12"/>
  <c r="V23" i="12"/>
  <c r="V53" i="12"/>
  <c r="V49" i="12"/>
  <c r="V47" i="12"/>
  <c r="W93" i="12" l="1"/>
  <c r="W23" i="12"/>
  <c r="W58" i="12"/>
  <c r="W98" i="12"/>
  <c r="W52" i="12"/>
  <c r="W29" i="12"/>
  <c r="W40" i="12"/>
  <c r="W92" i="12"/>
  <c r="W16" i="12"/>
  <c r="W21" i="12"/>
  <c r="W90" i="12"/>
  <c r="W42" i="12"/>
  <c r="W43" i="12"/>
  <c r="W6" i="12"/>
  <c r="W9" i="12"/>
  <c r="W62" i="12"/>
  <c r="W19" i="12"/>
  <c r="W83" i="12"/>
  <c r="W65" i="12"/>
  <c r="W75" i="12"/>
  <c r="W39" i="12"/>
  <c r="W74" i="12"/>
  <c r="W78" i="12"/>
  <c r="W2" i="12"/>
  <c r="V100" i="12"/>
  <c r="V101" i="12" s="1"/>
  <c r="W79" i="12"/>
  <c r="W38" i="12"/>
  <c r="W55" i="12"/>
  <c r="W35" i="12"/>
  <c r="W60" i="12"/>
  <c r="W51" i="12"/>
  <c r="W28" i="12"/>
  <c r="W8" i="12"/>
  <c r="W4" i="12"/>
  <c r="W86" i="12"/>
  <c r="W72" i="12"/>
  <c r="W97" i="12"/>
  <c r="W3" i="12"/>
  <c r="W57" i="12"/>
  <c r="W87" i="12"/>
  <c r="W81" i="12"/>
  <c r="W27" i="12"/>
  <c r="W41" i="12"/>
  <c r="W14" i="12"/>
  <c r="W12" i="12"/>
  <c r="W84" i="12"/>
  <c r="W44" i="12"/>
  <c r="W47" i="12"/>
  <c r="W63" i="12"/>
  <c r="W13" i="12"/>
  <c r="W18" i="12"/>
  <c r="W96" i="12"/>
  <c r="W46" i="12"/>
  <c r="W20" i="12"/>
  <c r="W34" i="12"/>
  <c r="W69" i="12"/>
  <c r="W50" i="12"/>
  <c r="W73" i="12"/>
  <c r="W33" i="12"/>
  <c r="W17" i="12"/>
  <c r="W11" i="12"/>
  <c r="W26" i="12"/>
  <c r="W36" i="12"/>
  <c r="W56" i="12"/>
  <c r="W88" i="12"/>
  <c r="W48" i="12"/>
  <c r="W10" i="12"/>
  <c r="W71" i="12"/>
  <c r="W22" i="12"/>
  <c r="W80" i="12"/>
  <c r="W49" i="12"/>
  <c r="W53" i="12"/>
  <c r="W24" i="12"/>
  <c r="W76" i="12"/>
  <c r="W68" i="12"/>
  <c r="W25" i="12"/>
  <c r="W82" i="12"/>
  <c r="W85" i="12"/>
  <c r="W67" i="12"/>
  <c r="W64" i="12"/>
  <c r="W95" i="12"/>
  <c r="W94" i="12"/>
  <c r="W59" i="12"/>
  <c r="W70" i="12"/>
  <c r="W15" i="12"/>
  <c r="W91" i="12"/>
  <c r="W66" i="12"/>
  <c r="W99" i="12"/>
  <c r="W89" i="12"/>
  <c r="W7" i="12"/>
  <c r="W5" i="12"/>
  <c r="W45" i="12"/>
  <c r="W54" i="12"/>
  <c r="W100" i="12" l="1"/>
  <c r="W101" i="12" s="1"/>
  <c r="E39" i="27" l="1"/>
  <c r="H4" i="27"/>
  <c r="H39" i="27" s="1"/>
  <c r="C40" i="19" l="1"/>
  <c r="D4" i="19"/>
  <c r="D4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Eden, Jessica</author>
  </authors>
  <commentList>
    <comment ref="C20" authorId="0" shapeId="0" xr:uid="{295187EF-6C65-4E9F-934A-679B8BE6AED0}">
      <text>
        <r>
          <rPr>
            <b/>
            <sz val="9"/>
            <color indexed="81"/>
            <rFont val="Tahoma"/>
            <family val="2"/>
          </rPr>
          <t>Eden, Jessica:</t>
        </r>
        <r>
          <rPr>
            <sz val="9"/>
            <color indexed="81"/>
            <rFont val="Tahoma"/>
            <family val="2"/>
          </rPr>
          <t xml:space="preserve">
Plug into BRASS as the ovd portion for 19-20</t>
        </r>
      </text>
    </comment>
    <comment ref="D20" authorId="0" shapeId="0" xr:uid="{DA65E2EC-9A2B-416D-B652-F7BB0C1947ED}">
      <text>
        <r>
          <rPr>
            <b/>
            <sz val="9"/>
            <color indexed="81"/>
            <rFont val="Tahoma"/>
            <family val="2"/>
          </rPr>
          <t>Eden, Jessica:</t>
        </r>
        <r>
          <rPr>
            <sz val="9"/>
            <color indexed="81"/>
            <rFont val="Tahoma"/>
            <family val="2"/>
          </rPr>
          <t xml:space="preserve">
plug into BRASS/BFM as the Discretionary split for 19-20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fajeramy</author>
  </authors>
  <commentList>
    <comment ref="G9" authorId="0" shapeId="0" xr:uid="{00000000-0006-0000-0E00-000001000000}">
      <text>
        <r>
          <rPr>
            <b/>
            <sz val="9"/>
            <color indexed="81"/>
            <rFont val="Tahoma"/>
            <family val="2"/>
          </rPr>
          <t>fajeramy:</t>
        </r>
        <r>
          <rPr>
            <sz val="9"/>
            <color indexed="81"/>
            <rFont val="Tahoma"/>
            <family val="2"/>
          </rPr>
          <t xml:space="preserve">
Added back capital discount that is 100% 
exlcuded in overhead bureau discount</t>
        </r>
      </text>
    </comment>
    <comment ref="G10" authorId="0" shapeId="0" xr:uid="{00000000-0006-0000-0E00-000002000000}">
      <text>
        <r>
          <rPr>
            <b/>
            <sz val="9"/>
            <color indexed="81"/>
            <rFont val="Tahoma"/>
            <family val="2"/>
          </rPr>
          <t>fajeramy:</t>
        </r>
        <r>
          <rPr>
            <sz val="9"/>
            <color indexed="81"/>
            <rFont val="Tahoma"/>
            <family val="2"/>
          </rPr>
          <t xml:space="preserve">
Adjusted for non-ovhd programs where the bureau moved the revenues to these programs but not expenses (e.g. education and OYVP). For this year, assume expenses match revenue adjustments.</t>
        </r>
      </text>
    </comment>
    <comment ref="H12" authorId="0" shapeId="0" xr:uid="{00000000-0006-0000-0E00-000003000000}">
      <text>
        <r>
          <rPr>
            <b/>
            <sz val="9"/>
            <color indexed="81"/>
            <rFont val="Tahoma"/>
            <family val="2"/>
          </rPr>
          <t>fajeramy:</t>
        </r>
        <r>
          <rPr>
            <sz val="9"/>
            <color indexed="81"/>
            <rFont val="Tahoma"/>
            <family val="2"/>
          </rPr>
          <t xml:space="preserve">
70.4% allocation of CDAS based on expenditure allocation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fajeramy</author>
  </authors>
  <commentList>
    <comment ref="D1" authorId="0" shapeId="0" xr:uid="{00000000-0006-0000-0F00-000001000000}">
      <text>
        <r>
          <rPr>
            <b/>
            <sz val="9"/>
            <color indexed="81"/>
            <rFont val="Tahoma"/>
            <family val="2"/>
          </rPr>
          <t>fajeramy:</t>
        </r>
        <r>
          <rPr>
            <sz val="9"/>
            <color indexed="81"/>
            <rFont val="Tahoma"/>
            <family val="2"/>
          </rPr>
          <t xml:space="preserve">
Adjust so as not to double count vacant casual exclusions.</t>
        </r>
      </text>
    </comment>
    <comment ref="D12" authorId="0" shapeId="0" xr:uid="{00000000-0006-0000-0F00-000002000000}">
      <text>
        <r>
          <rPr>
            <b/>
            <sz val="9"/>
            <color indexed="81"/>
            <rFont val="Tahoma"/>
            <family val="2"/>
          </rPr>
          <t>fajeramy:</t>
        </r>
        <r>
          <rPr>
            <sz val="9"/>
            <color indexed="81"/>
            <rFont val="Tahoma"/>
            <family val="2"/>
          </rPr>
          <t xml:space="preserve">
62% allocation for positions based on 15-16 base split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fajeramy</author>
  </authors>
  <commentList>
    <comment ref="G9" authorId="0" shapeId="0" xr:uid="{00000000-0006-0000-1000-000001000000}">
      <text>
        <r>
          <rPr>
            <b/>
            <sz val="9"/>
            <color indexed="81"/>
            <rFont val="Tahoma"/>
            <family val="2"/>
          </rPr>
          <t>fajeramy:</t>
        </r>
        <r>
          <rPr>
            <sz val="9"/>
            <color indexed="81"/>
            <rFont val="Tahoma"/>
            <family val="2"/>
          </rPr>
          <t xml:space="preserve">
Added back capital discount that is 100% 
exlcuded in overhead bureau discount</t>
        </r>
      </text>
    </comment>
    <comment ref="H12" authorId="0" shapeId="0" xr:uid="{00000000-0006-0000-1000-000002000000}">
      <text>
        <r>
          <rPr>
            <b/>
            <sz val="9"/>
            <color indexed="81"/>
            <rFont val="Tahoma"/>
            <family val="2"/>
          </rPr>
          <t>fajeramy:</t>
        </r>
        <r>
          <rPr>
            <sz val="9"/>
            <color indexed="81"/>
            <rFont val="Tahoma"/>
            <family val="2"/>
          </rPr>
          <t xml:space="preserve">
59.5% allocation of CDAS based on expenditure allocation</t>
        </r>
      </text>
    </comment>
    <comment ref="B66" authorId="0" shapeId="0" xr:uid="{00000000-0006-0000-1000-000003000000}">
      <text>
        <r>
          <rPr>
            <b/>
            <sz val="9"/>
            <color indexed="81"/>
            <rFont val="Tahoma"/>
            <family val="2"/>
          </rPr>
          <t>fajeramy:</t>
        </r>
        <r>
          <rPr>
            <sz val="9"/>
            <color indexed="81"/>
            <rFont val="Tahoma"/>
            <family val="2"/>
          </rPr>
          <t xml:space="preserve">
Includes $518 of 605-WA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fajeramy</author>
  </authors>
  <commentList>
    <comment ref="D12" authorId="0" shapeId="0" xr:uid="{00000000-0006-0000-1100-000001000000}">
      <text>
        <r>
          <rPr>
            <b/>
            <sz val="9"/>
            <color indexed="81"/>
            <rFont val="Tahoma"/>
            <family val="2"/>
          </rPr>
          <t>fajeramy:</t>
        </r>
        <r>
          <rPr>
            <sz val="9"/>
            <color indexed="81"/>
            <rFont val="Tahoma"/>
            <family val="2"/>
          </rPr>
          <t xml:space="preserve">
68.4% allocation for positions based on 16-17 base split</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fajeramy</author>
    <author>Eden, Jessica</author>
  </authors>
  <commentList>
    <comment ref="G9" authorId="0" shapeId="0" xr:uid="{00000000-0006-0000-1200-000001000000}">
      <text>
        <r>
          <rPr>
            <b/>
            <sz val="9"/>
            <color indexed="81"/>
            <rFont val="Tahoma"/>
            <family val="2"/>
          </rPr>
          <t>fajeramy:</t>
        </r>
        <r>
          <rPr>
            <sz val="9"/>
            <color indexed="81"/>
            <rFont val="Tahoma"/>
            <family val="2"/>
          </rPr>
          <t xml:space="preserve">
Added back capital discount that is 100% 
exlcuded in overhead bureau discount</t>
        </r>
      </text>
    </comment>
    <comment ref="H10" authorId="1" shapeId="0" xr:uid="{00000000-0006-0000-1200-000002000000}">
      <text>
        <r>
          <rPr>
            <b/>
            <sz val="9"/>
            <color indexed="81"/>
            <rFont val="Tahoma"/>
            <family val="2"/>
          </rPr>
          <t>Eden, Jessica:</t>
        </r>
        <r>
          <rPr>
            <sz val="9"/>
            <color indexed="81"/>
            <rFont val="Tahoma"/>
            <family val="2"/>
          </rPr>
          <t xml:space="preserve">
Use ASV called OVHD_GridExport in BMP database to get cost center specific data</t>
        </r>
      </text>
    </comment>
    <comment ref="H12" authorId="0" shapeId="0" xr:uid="{00000000-0006-0000-1200-000003000000}">
      <text>
        <r>
          <rPr>
            <b/>
            <sz val="9"/>
            <color indexed="81"/>
            <rFont val="Tahoma"/>
            <family val="2"/>
          </rPr>
          <t>fajeramy:</t>
        </r>
        <r>
          <rPr>
            <sz val="9"/>
            <color indexed="81"/>
            <rFont val="Tahoma"/>
            <family val="2"/>
          </rPr>
          <t xml:space="preserve">
59.5% allocation of CDAS based on expenditure allocation
I don't know what this comment means but I was able to recreate last year's number and used same methodology for this years
</t>
        </r>
      </text>
    </comment>
    <comment ref="H13" authorId="1" shapeId="0" xr:uid="{00000000-0006-0000-1200-000004000000}">
      <text>
        <r>
          <rPr>
            <b/>
            <sz val="9"/>
            <color indexed="81"/>
            <rFont val="Tahoma"/>
            <family val="2"/>
          </rPr>
          <t>Eden, Jessica:</t>
        </r>
        <r>
          <rPr>
            <sz val="9"/>
            <color indexed="81"/>
            <rFont val="Tahoma"/>
            <family val="2"/>
          </rPr>
          <t xml:space="preserve">
used same method as last year, all of cdce, all of cdcr and 59.5% of cdas</t>
        </r>
      </text>
    </comment>
    <comment ref="B62" authorId="0" shapeId="0" xr:uid="{00000000-0006-0000-1200-000005000000}">
      <text>
        <r>
          <rPr>
            <b/>
            <sz val="9"/>
            <color indexed="81"/>
            <rFont val="Tahoma"/>
            <family val="2"/>
          </rPr>
          <t>fajeramy:</t>
        </r>
        <r>
          <rPr>
            <sz val="9"/>
            <color indexed="81"/>
            <rFont val="Tahoma"/>
            <family val="2"/>
          </rPr>
          <t xml:space="preserve">
Includes $518 of 605-WA</t>
        </r>
      </text>
    </comment>
    <comment ref="F71" authorId="1" shapeId="0" xr:uid="{00000000-0006-0000-1200-000006000000}">
      <text>
        <r>
          <rPr>
            <b/>
            <sz val="9"/>
            <color indexed="81"/>
            <rFont val="Tahoma"/>
            <family val="2"/>
          </rPr>
          <t>Eden, Jessica:</t>
        </r>
        <r>
          <rPr>
            <sz val="9"/>
            <color indexed="81"/>
            <rFont val="Tahoma"/>
            <family val="2"/>
          </rPr>
          <t xml:space="preserve">
Total 16-17 bureau expense for fund 700 is $60,972,539. Total for 529721 is $54,588,124</t>
        </r>
      </text>
    </comment>
    <comment ref="F75" authorId="1" shapeId="0" xr:uid="{00000000-0006-0000-1200-000007000000}">
      <text>
        <r>
          <rPr>
            <b/>
            <sz val="9"/>
            <color indexed="81"/>
            <rFont val="Tahoma"/>
            <family val="2"/>
          </rPr>
          <t>Eden, Jessica:</t>
        </r>
        <r>
          <rPr>
            <sz val="9"/>
            <color indexed="81"/>
            <rFont val="Tahoma"/>
            <family val="2"/>
          </rPr>
          <t xml:space="preserve">
16-17 buexp=$9,023,363
529700=$2,265,135
</t>
        </r>
      </text>
    </comment>
    <comment ref="F76" authorId="1" shapeId="0" xr:uid="{00000000-0006-0000-1200-000008000000}">
      <text>
        <r>
          <rPr>
            <b/>
            <sz val="9"/>
            <color indexed="81"/>
            <rFont val="Tahoma"/>
            <family val="2"/>
          </rPr>
          <t>Eden, Jessica:</t>
        </r>
        <r>
          <rPr>
            <sz val="9"/>
            <color indexed="81"/>
            <rFont val="Tahoma"/>
            <family val="2"/>
          </rPr>
          <t xml:space="preserve">
actual 16-17 buexp=$4,845,041
529700=$2,206,241</t>
        </r>
      </text>
    </comment>
    <comment ref="F79" authorId="1" shapeId="0" xr:uid="{00000000-0006-0000-1200-000009000000}">
      <text>
        <r>
          <rPr>
            <b/>
            <sz val="9"/>
            <color indexed="81"/>
            <rFont val="Tahoma"/>
            <family val="2"/>
          </rPr>
          <t xml:space="preserve">Eden, Jessica:
</t>
        </r>
        <r>
          <rPr>
            <sz val="9"/>
            <color indexed="81"/>
            <rFont val="Tahoma"/>
            <family val="2"/>
          </rPr>
          <t>actual 16-17 buexp=$133,377,807
547000=$113,826,621
547100=$6,063,647</t>
        </r>
      </text>
    </comment>
    <comment ref="B80" authorId="1" shapeId="0" xr:uid="{00000000-0006-0000-1200-00000A000000}">
      <text>
        <r>
          <rPr>
            <b/>
            <sz val="9"/>
            <color indexed="81"/>
            <rFont val="Tahoma"/>
            <family val="2"/>
          </rPr>
          <t>Eden, Jessica:</t>
        </r>
        <r>
          <rPr>
            <sz val="9"/>
            <color indexed="81"/>
            <rFont val="Tahoma"/>
            <family val="2"/>
          </rPr>
          <t xml:space="preserve">
changed from 8604 to 8611 on 4/10 based on 16-17 ASV. Difference could easily be due to balancing actuals in production AFTER initial pull was done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fajeramy</author>
  </authors>
  <commentList>
    <comment ref="D12" authorId="0" shapeId="0" xr:uid="{00000000-0006-0000-1300-000001000000}">
      <text>
        <r>
          <rPr>
            <b/>
            <sz val="9"/>
            <color indexed="81"/>
            <rFont val="Tahoma"/>
            <family val="2"/>
          </rPr>
          <t>fajeramy:</t>
        </r>
        <r>
          <rPr>
            <sz val="9"/>
            <color indexed="81"/>
            <rFont val="Tahoma"/>
            <family val="2"/>
          </rPr>
          <t xml:space="preserve">
68.4% allocation for positions based on 16-17 base split. Overhead vs. non-overhead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Eden, Jessica</author>
  </authors>
  <commentList>
    <comment ref="H11" authorId="0" shapeId="0" xr:uid="{CF9B09AF-26CD-4BC7-9DE6-538441DF81A2}">
      <text>
        <r>
          <rPr>
            <b/>
            <sz val="9"/>
            <color indexed="81"/>
            <rFont val="Tahoma"/>
            <family val="2"/>
          </rPr>
          <t>Eden, Jessica:</t>
        </r>
        <r>
          <rPr>
            <sz val="9"/>
            <color indexed="81"/>
            <rFont val="Tahoma"/>
            <family val="2"/>
          </rPr>
          <t xml:space="preserve">
Followed what happened in FY 2015-16 and FY 2016-17 but not sure this is right. I think it's backwards
</t>
        </r>
      </text>
    </comment>
    <comment ref="F76" authorId="0" shapeId="0" xr:uid="{46DFE991-0EDB-438F-8ACA-F2A2AC78B405}">
      <text>
        <r>
          <rPr>
            <b/>
            <sz val="9"/>
            <color indexed="81"/>
            <rFont val="Tahoma"/>
            <family val="2"/>
          </rPr>
          <t>Eden, Jessica:</t>
        </r>
        <r>
          <rPr>
            <sz val="9"/>
            <color indexed="81"/>
            <rFont val="Tahoma"/>
            <family val="2"/>
          </rPr>
          <t xml:space="preserve">
Significantly lower payout this year??? 547100=almost half of 16-17. SAP had updated numbers. Have to assume this is after the last actual load into BMP archive...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Eden, Jessica</author>
  </authors>
  <commentList>
    <comment ref="C4" authorId="0" shapeId="0" xr:uid="{00000000-0006-0000-0100-000001000000}">
      <text>
        <r>
          <rPr>
            <b/>
            <sz val="9"/>
            <color indexed="81"/>
            <rFont val="Tahoma"/>
            <family val="2"/>
          </rPr>
          <t>Eden, Jessica:</t>
        </r>
        <r>
          <rPr>
            <sz val="9"/>
            <color indexed="81"/>
            <rFont val="Tahoma"/>
            <family val="2"/>
          </rPr>
          <t xml:space="preserve">
This is the sum of the discretionary, not 487210...</t>
        </r>
      </text>
    </comment>
    <comment ref="C44" authorId="0" shapeId="0" xr:uid="{00000000-0006-0000-0100-000002000000}">
      <text>
        <r>
          <rPr>
            <b/>
            <sz val="9"/>
            <color indexed="81"/>
            <rFont val="Tahoma"/>
            <family val="2"/>
          </rPr>
          <t>Eden, Jessica:</t>
        </r>
        <r>
          <rPr>
            <sz val="9"/>
            <color indexed="81"/>
            <rFont val="Tahoma"/>
            <family val="2"/>
          </rPr>
          <t xml:space="preserve">
This is what the general fund would have to backfill to get there; however, we have already added this back to discretionary in the system and that's what cells b48 and b49 represent. Therefore the "real" variance is only 9,402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fajeramy</author>
  </authors>
  <commentList>
    <comment ref="H4" authorId="0" shapeId="0" xr:uid="{00000000-0006-0000-0200-000001000000}">
      <text>
        <r>
          <rPr>
            <b/>
            <sz val="9"/>
            <color indexed="81"/>
            <rFont val="Tahoma"/>
            <family val="2"/>
          </rPr>
          <t>fajeramy:</t>
        </r>
        <r>
          <rPr>
            <sz val="9"/>
            <color indexed="81"/>
            <rFont val="Tahoma"/>
            <family val="2"/>
          </rPr>
          <t xml:space="preserve">
Hard coded to match BRASS and keep ovhd split the same as Requested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Kinsella, Ryan</author>
    <author>fajeramy</author>
    <author>Eden, Jessica</author>
  </authors>
  <commentList>
    <comment ref="B2" authorId="0" shapeId="0" xr:uid="{00000000-0006-0000-0400-000001000000}">
      <text>
        <r>
          <rPr>
            <b/>
            <sz val="9"/>
            <color indexed="81"/>
            <rFont val="Tahoma"/>
            <family val="2"/>
          </rPr>
          <t xml:space="preserve">Eden, Jess:
</t>
        </r>
        <r>
          <rPr>
            <sz val="9"/>
            <color indexed="81"/>
            <rFont val="Tahoma"/>
            <family val="2"/>
          </rPr>
          <t xml:space="preserve">These numbers are taken directly from the 17-18 model and are the numbers that produced the charges in SAP so we need to use them in order to make sure the true up is acurate. </t>
        </r>
      </text>
    </comment>
    <comment ref="C9" authorId="0" shapeId="0" xr:uid="{BBEC6D62-2BAF-429A-B457-DB64D43A2272}">
      <text>
        <r>
          <rPr>
            <b/>
            <sz val="9"/>
            <color indexed="81"/>
            <rFont val="Tahoma"/>
            <charset val="1"/>
          </rPr>
          <t>Kinsella, Ryan:</t>
        </r>
        <r>
          <rPr>
            <sz val="9"/>
            <color indexed="81"/>
            <rFont val="Tahoma"/>
            <charset val="1"/>
          </rPr>
          <t xml:space="preserve">
Please see the file "OMF Cost Pool - FY18-final" for details on this calculation.
</t>
        </r>
      </text>
    </comment>
    <comment ref="C12" authorId="1" shapeId="0" xr:uid="{00000000-0006-0000-0400-000008000000}">
      <text>
        <r>
          <rPr>
            <b/>
            <sz val="9"/>
            <color indexed="81"/>
            <rFont val="Tahoma"/>
            <family val="2"/>
          </rPr>
          <t>fajeramy:</t>
        </r>
        <r>
          <rPr>
            <sz val="9"/>
            <color indexed="81"/>
            <rFont val="Tahoma"/>
            <family val="2"/>
          </rPr>
          <t xml:space="preserve">
Based on 60% of admin in model</t>
        </r>
      </text>
    </comment>
    <comment ref="B26" authorId="2" shapeId="0" xr:uid="{52C77FB8-4515-45E7-95D8-830AAE7A28C3}">
      <text>
        <r>
          <rPr>
            <b/>
            <sz val="9"/>
            <color indexed="81"/>
            <rFont val="Tahoma"/>
            <charset val="1"/>
          </rPr>
          <t>Eden, Jessica:</t>
        </r>
        <r>
          <rPr>
            <sz val="9"/>
            <color indexed="81"/>
            <rFont val="Tahoma"/>
            <charset val="1"/>
          </rPr>
          <t xml:space="preserve">
reduce this by the sum of the true up charge </t>
        </r>
      </text>
    </comment>
    <comment ref="C26" authorId="2" shapeId="0" xr:uid="{E1B48BEF-E889-4600-94E3-56D4B63E443E}">
      <text>
        <r>
          <rPr>
            <b/>
            <sz val="9"/>
            <color indexed="81"/>
            <rFont val="Tahoma"/>
            <charset val="1"/>
          </rPr>
          <t>Eden, Jessica:</t>
        </r>
        <r>
          <rPr>
            <sz val="9"/>
            <color indexed="81"/>
            <rFont val="Tahoma"/>
            <charset val="1"/>
          </rPr>
          <t xml:space="preserve">
reduce this by the sum of the true up charge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fajeramy</author>
    <author>Eden, Jessica</author>
  </authors>
  <commentList>
    <comment ref="V37" authorId="0" shapeId="0" xr:uid="{00000000-0006-0000-0600-000001000000}">
      <text>
        <r>
          <rPr>
            <b/>
            <sz val="9"/>
            <color indexed="81"/>
            <rFont val="Tahoma"/>
            <family val="2"/>
          </rPr>
          <t>fajeramy:</t>
        </r>
        <r>
          <rPr>
            <sz val="9"/>
            <color indexed="81"/>
            <rFont val="Tahoma"/>
            <family val="2"/>
          </rPr>
          <t xml:space="preserve">
Hardcoded to $25K
</t>
        </r>
      </text>
    </comment>
    <comment ref="V61" authorId="0" shapeId="0" xr:uid="{00000000-0006-0000-0600-000002000000}">
      <text>
        <r>
          <rPr>
            <b/>
            <sz val="9"/>
            <color indexed="81"/>
            <rFont val="Tahoma"/>
            <family val="2"/>
          </rPr>
          <t>fajeramy:</t>
        </r>
        <r>
          <rPr>
            <sz val="9"/>
            <color indexed="81"/>
            <rFont val="Tahoma"/>
            <family val="2"/>
          </rPr>
          <t xml:space="preserve">
Hardcoded to $25K
</t>
        </r>
      </text>
    </comment>
    <comment ref="S75" authorId="1" shapeId="0" xr:uid="{B678E16A-27DD-464D-943C-6238417E8D75}">
      <text>
        <r>
          <rPr>
            <b/>
            <sz val="9"/>
            <color indexed="81"/>
            <rFont val="Tahoma"/>
            <charset val="1"/>
          </rPr>
          <t>Eden, Jessica:</t>
        </r>
        <r>
          <rPr>
            <sz val="9"/>
            <color indexed="81"/>
            <rFont val="Tahoma"/>
            <charset val="1"/>
          </rPr>
          <t xml:space="preserve">
Hardcode true-up charge with adopted budget figure.</t>
        </r>
      </text>
    </comment>
    <comment ref="S76" authorId="1" shapeId="0" xr:uid="{B405AF8B-9850-4A01-8323-F2CA111FBB02}">
      <text>
        <r>
          <rPr>
            <b/>
            <sz val="9"/>
            <color indexed="81"/>
            <rFont val="Tahoma"/>
            <charset val="1"/>
          </rPr>
          <t>Eden, Jessica:</t>
        </r>
        <r>
          <rPr>
            <sz val="9"/>
            <color indexed="81"/>
            <rFont val="Tahoma"/>
            <charset val="1"/>
          </rPr>
          <t xml:space="preserve">
ran the model with the fund included to get these, then copy and pasted as values. This is important because when we go back and exclude them it will recalc the spread and force it to be zero. So, it will show up in the model as zero because it's not in here anymore. We ultimately want to collect this true up for fund 403.</t>
        </r>
      </text>
    </comment>
    <comment ref="T104" authorId="1" shapeId="0" xr:uid="{9B7EC7B3-8FEB-4191-AA46-7A0C3D5E94F8}">
      <text>
        <r>
          <rPr>
            <b/>
            <sz val="9"/>
            <color indexed="81"/>
            <rFont val="Tahoma"/>
            <family val="2"/>
          </rPr>
          <t>Eden, Jessica:</t>
        </r>
        <r>
          <rPr>
            <sz val="9"/>
            <color indexed="81"/>
            <rFont val="Tahoma"/>
            <family val="2"/>
          </rPr>
          <t xml:space="preserve">
came from total cost pool tab in 18-19 model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fajeramy</author>
  </authors>
  <commentList>
    <comment ref="G6" authorId="0" shapeId="0" xr:uid="{00000000-0006-0000-0A00-000001000000}">
      <text>
        <r>
          <rPr>
            <b/>
            <sz val="9"/>
            <color indexed="81"/>
            <rFont val="Tahoma"/>
            <family val="2"/>
          </rPr>
          <t>fajeramy:</t>
        </r>
        <r>
          <rPr>
            <sz val="9"/>
            <color indexed="81"/>
            <rFont val="Tahoma"/>
            <family val="2"/>
          </rPr>
          <t xml:space="preserve">
Mcalls Bldg payment to water. Treated in model like a cash transfer but needed to be a capital expense due to accounting rules</t>
        </r>
      </text>
    </comment>
    <comment ref="H7" authorId="0" shapeId="0" xr:uid="{00000000-0006-0000-0A00-000002000000}">
      <text>
        <r>
          <rPr>
            <b/>
            <sz val="9"/>
            <color indexed="81"/>
            <rFont val="Tahoma"/>
            <family val="2"/>
          </rPr>
          <t>fajeramy:</t>
        </r>
        <r>
          <rPr>
            <sz val="9"/>
            <color indexed="81"/>
            <rFont val="Tahoma"/>
            <family val="2"/>
          </rPr>
          <t xml:space="preserve">
Got number from Fire, they had used wrong fund center to track</t>
        </r>
      </text>
    </comment>
    <comment ref="G11" authorId="0" shapeId="0" xr:uid="{00000000-0006-0000-0A00-000003000000}">
      <text>
        <r>
          <rPr>
            <b/>
            <sz val="9"/>
            <color indexed="81"/>
            <rFont val="Tahoma"/>
            <family val="2"/>
          </rPr>
          <t>fajeramy:</t>
        </r>
        <r>
          <rPr>
            <sz val="9"/>
            <color indexed="81"/>
            <rFont val="Tahoma"/>
            <family val="2"/>
          </rPr>
          <t xml:space="preserve">
Added back capital discount that is 100% 
exlcuded in overhead bureau discount (capital amount was negative)</t>
        </r>
      </text>
    </comment>
    <comment ref="H14" authorId="0" shapeId="0" xr:uid="{00000000-0006-0000-0A00-000004000000}">
      <text>
        <r>
          <rPr>
            <b/>
            <sz val="9"/>
            <color indexed="81"/>
            <rFont val="Tahoma"/>
            <family val="2"/>
          </rPr>
          <t>fajeramy:</t>
        </r>
        <r>
          <rPr>
            <sz val="9"/>
            <color indexed="81"/>
            <rFont val="Tahoma"/>
            <family val="2"/>
          </rPr>
          <t xml:space="preserve">
Didn't track at detailed functional area, so took % split from budget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fajeramy</author>
  </authors>
  <commentList>
    <comment ref="D1" authorId="0" shapeId="0" xr:uid="{00000000-0006-0000-0B00-000001000000}">
      <text>
        <r>
          <rPr>
            <b/>
            <sz val="9"/>
            <color indexed="81"/>
            <rFont val="Tahoma"/>
            <family val="2"/>
          </rPr>
          <t>fajeramy:</t>
        </r>
        <r>
          <rPr>
            <sz val="9"/>
            <color indexed="81"/>
            <rFont val="Tahoma"/>
            <family val="2"/>
          </rPr>
          <t xml:space="preserve">
Adjust so as not to double count vacant casual exclusions.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fajeramy</author>
  </authors>
  <commentList>
    <comment ref="G9" authorId="0" shapeId="0" xr:uid="{00000000-0006-0000-0C00-000001000000}">
      <text>
        <r>
          <rPr>
            <b/>
            <sz val="9"/>
            <color indexed="81"/>
            <rFont val="Tahoma"/>
            <family val="2"/>
          </rPr>
          <t>fajeramy:</t>
        </r>
        <r>
          <rPr>
            <sz val="9"/>
            <color indexed="81"/>
            <rFont val="Tahoma"/>
            <family val="2"/>
          </rPr>
          <t xml:space="preserve">
Added back capital discount that is 100% 
exlcuded in overhead bureau discount</t>
        </r>
      </text>
    </comment>
    <comment ref="H16" authorId="0" shapeId="0" xr:uid="{00000000-0006-0000-0C00-000002000000}">
      <text>
        <r>
          <rPr>
            <b/>
            <sz val="9"/>
            <color indexed="81"/>
            <rFont val="Tahoma"/>
            <family val="2"/>
          </rPr>
          <t>fajeramy:</t>
        </r>
        <r>
          <rPr>
            <sz val="9"/>
            <color indexed="81"/>
            <rFont val="Tahoma"/>
            <family val="2"/>
          </rPr>
          <t xml:space="preserve">
Due to BPS reorg, the bureau didn't capture all overhead related costs in the correct cost pool. No way to verify additional costs were truly overhead, thus only took what was included in the approved overhead pools. Will work with bureau to better track ovhd expenses in future years.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fajeramy</author>
  </authors>
  <commentList>
    <comment ref="D1" authorId="0" shapeId="0" xr:uid="{00000000-0006-0000-0D00-000001000000}">
      <text>
        <r>
          <rPr>
            <b/>
            <sz val="9"/>
            <color indexed="81"/>
            <rFont val="Tahoma"/>
            <family val="2"/>
          </rPr>
          <t>fajeramy:</t>
        </r>
        <r>
          <rPr>
            <sz val="9"/>
            <color indexed="81"/>
            <rFont val="Tahoma"/>
            <family val="2"/>
          </rPr>
          <t xml:space="preserve">
Adjust so as not to double count vacant casual exclusions.</t>
        </r>
      </text>
    </comment>
  </commentList>
</comments>
</file>

<file path=xl/sharedStrings.xml><?xml version="1.0" encoding="utf-8"?>
<sst xmlns="http://schemas.openxmlformats.org/spreadsheetml/2006/main" count="1746" uniqueCount="551">
  <si>
    <t>Operating</t>
  </si>
  <si>
    <t>Capital</t>
  </si>
  <si>
    <t>100</t>
  </si>
  <si>
    <t>General Fund</t>
  </si>
  <si>
    <t>PN</t>
  </si>
  <si>
    <t>Bureau of Planning &amp; Sustainability</t>
  </si>
  <si>
    <t>PA</t>
  </si>
  <si>
    <t>Commissioner of Public Affairs</t>
  </si>
  <si>
    <t>PS</t>
  </si>
  <si>
    <t>Commissioner of Public Safety</t>
  </si>
  <si>
    <t>PU</t>
  </si>
  <si>
    <t>Commissioner of Public Utilities</t>
  </si>
  <si>
    <t>PW</t>
  </si>
  <si>
    <t>Commissioner of Public Works</t>
  </si>
  <si>
    <t>CB</t>
  </si>
  <si>
    <t>Office for Community Technology</t>
  </si>
  <si>
    <t>OE</t>
  </si>
  <si>
    <t>Office of Equity &amp; Human Rights</t>
  </si>
  <si>
    <t>GR</t>
  </si>
  <si>
    <t>Office of Government Relations</t>
  </si>
  <si>
    <t>HN</t>
  </si>
  <si>
    <t>Office of Human Relations</t>
  </si>
  <si>
    <t>MF</t>
  </si>
  <si>
    <t>Office of Management &amp; Finance</t>
  </si>
  <si>
    <t>NI</t>
  </si>
  <si>
    <t>Office of Neighborhood Involvement</t>
  </si>
  <si>
    <t>SD</t>
  </si>
  <si>
    <t>Office of Sustainable Development</t>
  </si>
  <si>
    <t>AT</t>
  </si>
  <si>
    <t>Office of the City Attorney</t>
  </si>
  <si>
    <t>AU</t>
  </si>
  <si>
    <t>Office of the City Auditor</t>
  </si>
  <si>
    <t>MY</t>
  </si>
  <si>
    <t>Office of the Mayor</t>
  </si>
  <si>
    <t>EM</t>
  </si>
  <si>
    <t>Portland Bureau of Emergency Management</t>
  </si>
  <si>
    <t>ZD</t>
  </si>
  <si>
    <t>Portland Development Commission</t>
  </si>
  <si>
    <t>FR</t>
  </si>
  <si>
    <t>Portland Fire &amp; Rescue</t>
  </si>
  <si>
    <t>HC</t>
  </si>
  <si>
    <t>Portland Housing Bureau</t>
  </si>
  <si>
    <t>PK</t>
  </si>
  <si>
    <t>Portland Parks &amp; Recreation</t>
  </si>
  <si>
    <t>PL</t>
  </si>
  <si>
    <t>Portland Police Bureau</t>
  </si>
  <si>
    <t>SA</t>
  </si>
  <si>
    <t>Special Appropriations</t>
  </si>
  <si>
    <t>200</t>
  </si>
  <si>
    <t>Transportation Operating Fund</t>
  </si>
  <si>
    <t>TR</t>
  </si>
  <si>
    <t>Portland Bureau of Transportation</t>
  </si>
  <si>
    <t>202</t>
  </si>
  <si>
    <t>Emergency Communication Fund</t>
  </si>
  <si>
    <t>EC</t>
  </si>
  <si>
    <t>Bureau of Emergency Communications</t>
  </si>
  <si>
    <t>203</t>
  </si>
  <si>
    <t>Development Services Fund</t>
  </si>
  <si>
    <t>DS</t>
  </si>
  <si>
    <t>Bureau of Development Services</t>
  </si>
  <si>
    <t>204</t>
  </si>
  <si>
    <t>Property Management License Fund</t>
  </si>
  <si>
    <t>206</t>
  </si>
  <si>
    <t>209</t>
  </si>
  <si>
    <t>Convention and Tourism Fund</t>
  </si>
  <si>
    <t>211</t>
  </si>
  <si>
    <t>Special Finance and Resource Fund</t>
  </si>
  <si>
    <t>FM</t>
  </si>
  <si>
    <t>213</t>
  </si>
  <si>
    <t>Housing Investment Fund</t>
  </si>
  <si>
    <t>215</t>
  </si>
  <si>
    <t>Parks Local Option Levy Fund</t>
  </si>
  <si>
    <t>216</t>
  </si>
  <si>
    <t>Children's Investment Fund</t>
  </si>
  <si>
    <t>217</t>
  </si>
  <si>
    <t>Grants Fund</t>
  </si>
  <si>
    <t>ES</t>
  </si>
  <si>
    <t>Bureau of Environmental Services</t>
  </si>
  <si>
    <t>WA</t>
  </si>
  <si>
    <t>Portland Water Bureau</t>
  </si>
  <si>
    <t>218</t>
  </si>
  <si>
    <t>Community Development Block Grant Fund</t>
  </si>
  <si>
    <t>219</t>
  </si>
  <si>
    <t>HOME Grant Fund</t>
  </si>
  <si>
    <t>220</t>
  </si>
  <si>
    <t>Portland Parks Memorial Fund</t>
  </si>
  <si>
    <t>221</t>
  </si>
  <si>
    <t>Tax Increment Financing Reimbursement Fund</t>
  </si>
  <si>
    <t>222</t>
  </si>
  <si>
    <t>Police Special Revenue Fund</t>
  </si>
  <si>
    <t>400</t>
  </si>
  <si>
    <t>BFRES Facilities GO Bond Construction Fund</t>
  </si>
  <si>
    <t>401</t>
  </si>
  <si>
    <t>Local Improvement District Fund</t>
  </si>
  <si>
    <t>402</t>
  </si>
  <si>
    <t>Parks Capital Improvement Program Fund</t>
  </si>
  <si>
    <t>403</t>
  </si>
  <si>
    <t>Public Safety GO Bond Fund</t>
  </si>
  <si>
    <t>600</t>
  </si>
  <si>
    <t>Sewer System Operating Fund</t>
  </si>
  <si>
    <t>601</t>
  </si>
  <si>
    <t>Hydroelectric Power Operating Fund</t>
  </si>
  <si>
    <t>602</t>
  </si>
  <si>
    <t>Water Fund</t>
  </si>
  <si>
    <t>603</t>
  </si>
  <si>
    <t>Golf Fund</t>
  </si>
  <si>
    <t>604</t>
  </si>
  <si>
    <t>Portland International Raceway Fund</t>
  </si>
  <si>
    <t>605</t>
  </si>
  <si>
    <t>Solid Waste Management Fund</t>
  </si>
  <si>
    <t>606</t>
  </si>
  <si>
    <t>Parking Facilities Fund</t>
  </si>
  <si>
    <t>607</t>
  </si>
  <si>
    <t>Spectator Facilities Operating Fund</t>
  </si>
  <si>
    <t>608</t>
  </si>
  <si>
    <t>Environmental Remediation Fund</t>
  </si>
  <si>
    <t>621</t>
  </si>
  <si>
    <t>Headwaters Apartment Complex Fund</t>
  </si>
  <si>
    <t>700</t>
  </si>
  <si>
    <t>Health Insurance Operating Fund</t>
  </si>
  <si>
    <t>701</t>
  </si>
  <si>
    <t>Facilities Services Operating Fund</t>
  </si>
  <si>
    <t>702</t>
  </si>
  <si>
    <t>CityFleet Operating Fund</t>
  </si>
  <si>
    <t>703</t>
  </si>
  <si>
    <t>Printing &amp; Distribution Services Operating Fund</t>
  </si>
  <si>
    <t>704</t>
  </si>
  <si>
    <t>Insurance and Claims Operating Fund</t>
  </si>
  <si>
    <t>705</t>
  </si>
  <si>
    <t>706</t>
  </si>
  <si>
    <t>Technology Services Fund</t>
  </si>
  <si>
    <t>708</t>
  </si>
  <si>
    <t>EBS Services Fund</t>
  </si>
  <si>
    <t>800</t>
  </si>
  <si>
    <t>Fire &amp; Police Disability &amp; Retirement Fund</t>
  </si>
  <si>
    <t>DR</t>
  </si>
  <si>
    <t>Bureau of Fire &amp; Police Disability &amp; Retirement</t>
  </si>
  <si>
    <t>802</t>
  </si>
  <si>
    <t>Fire &amp; Police Supplemental Retirement Res Fund</t>
  </si>
  <si>
    <t>Parks Endowment Fund</t>
  </si>
  <si>
    <t>500</t>
  </si>
  <si>
    <t>Governmental Bond Redemption Fund</t>
  </si>
  <si>
    <t>317</t>
  </si>
  <si>
    <t>South Park Blocks Redemption Fund</t>
  </si>
  <si>
    <t>306</t>
  </si>
  <si>
    <t>Waterfront Renewal Bond Sinking Fund</t>
  </si>
  <si>
    <t>303</t>
  </si>
  <si>
    <t>Fund</t>
  </si>
  <si>
    <t>Fund Name</t>
  </si>
  <si>
    <t>Bureau Name</t>
  </si>
  <si>
    <t>Bureau</t>
  </si>
  <si>
    <t>100-PN</t>
  </si>
  <si>
    <t>100-PA</t>
  </si>
  <si>
    <t>100-PS</t>
  </si>
  <si>
    <t>100-PU</t>
  </si>
  <si>
    <t>100-PW</t>
  </si>
  <si>
    <t>100-CB</t>
  </si>
  <si>
    <t>100-GR</t>
  </si>
  <si>
    <t>100-HN</t>
  </si>
  <si>
    <t>100-MF</t>
  </si>
  <si>
    <t>100-NI</t>
  </si>
  <si>
    <t>100-AT</t>
  </si>
  <si>
    <t>100-AU</t>
  </si>
  <si>
    <t>100-MY</t>
  </si>
  <si>
    <t>100-EM</t>
  </si>
  <si>
    <t>100-FR</t>
  </si>
  <si>
    <t>100-HC</t>
  </si>
  <si>
    <t>100-PK</t>
  </si>
  <si>
    <t>100-PL</t>
  </si>
  <si>
    <t>100-SA</t>
  </si>
  <si>
    <t>200-TR</t>
  </si>
  <si>
    <t>202-EC</t>
  </si>
  <si>
    <t>202-MF</t>
  </si>
  <si>
    <t>203-DS</t>
  </si>
  <si>
    <t>204-MF</t>
  </si>
  <si>
    <t>206-CB</t>
  </si>
  <si>
    <t>209-MF</t>
  </si>
  <si>
    <t>211-FM</t>
  </si>
  <si>
    <t>213-HC</t>
  </si>
  <si>
    <t>214-AU</t>
  </si>
  <si>
    <t>215-PK</t>
  </si>
  <si>
    <t>216-PA</t>
  </si>
  <si>
    <t>217-EC</t>
  </si>
  <si>
    <t>217-ES</t>
  </si>
  <si>
    <t>217-PN</t>
  </si>
  <si>
    <t>217-PU</t>
  </si>
  <si>
    <t>217-MF</t>
  </si>
  <si>
    <t>217-EM</t>
  </si>
  <si>
    <t>217-TR</t>
  </si>
  <si>
    <t>217-ZD</t>
  </si>
  <si>
    <t>217-FR</t>
  </si>
  <si>
    <t>217-HC</t>
  </si>
  <si>
    <t>217-PK</t>
  </si>
  <si>
    <t>217-PL</t>
  </si>
  <si>
    <t>217-WA</t>
  </si>
  <si>
    <t>218-HC</t>
  </si>
  <si>
    <t>219-HC</t>
  </si>
  <si>
    <t>220-PK</t>
  </si>
  <si>
    <t>221-HC</t>
  </si>
  <si>
    <t>222-PL</t>
  </si>
  <si>
    <t>303-FM</t>
  </si>
  <si>
    <t>306-FM</t>
  </si>
  <si>
    <t>317-FM</t>
  </si>
  <si>
    <t>400-MF</t>
  </si>
  <si>
    <t>401-AU</t>
  </si>
  <si>
    <t>402-PK</t>
  </si>
  <si>
    <t>500-PK</t>
  </si>
  <si>
    <t>600-ES</t>
  </si>
  <si>
    <t>601-WA</t>
  </si>
  <si>
    <t>602-WA</t>
  </si>
  <si>
    <t>603-PK</t>
  </si>
  <si>
    <t>604-PK</t>
  </si>
  <si>
    <t>605-PN</t>
  </si>
  <si>
    <t>606-TR</t>
  </si>
  <si>
    <t>607-MF</t>
  </si>
  <si>
    <t>608-ES</t>
  </si>
  <si>
    <t>700-MF</t>
  </si>
  <si>
    <t>701-MF</t>
  </si>
  <si>
    <t>702-MF</t>
  </si>
  <si>
    <t>703-MF</t>
  </si>
  <si>
    <t>704-MF</t>
  </si>
  <si>
    <t>705-MF</t>
  </si>
  <si>
    <t>706-MF</t>
  </si>
  <si>
    <t>708-MF</t>
  </si>
  <si>
    <t>800-DR</t>
  </si>
  <si>
    <t>802-FM</t>
  </si>
  <si>
    <t>Fund/Bureau</t>
  </si>
  <si>
    <t>201</t>
  </si>
  <si>
    <t>Assessment Collection Fund</t>
  </si>
  <si>
    <t>205</t>
  </si>
  <si>
    <t>Closed - Public Safety Fund</t>
  </si>
  <si>
    <t>207</t>
  </si>
  <si>
    <t>Closed - Private for Hire Trans. Safety Fund</t>
  </si>
  <si>
    <t>208</t>
  </si>
  <si>
    <t>Closed - Business License Surcharge Fund</t>
  </si>
  <si>
    <t>210</t>
  </si>
  <si>
    <t>General Reserve Fund</t>
  </si>
  <si>
    <t>212</t>
  </si>
  <si>
    <t>Transportation Reserve Fund</t>
  </si>
  <si>
    <t>223</t>
  </si>
  <si>
    <t>Arts Education &amp; Access Fund</t>
  </si>
  <si>
    <t>301</t>
  </si>
  <si>
    <t>River District URA Debt Redemption Fund</t>
  </si>
  <si>
    <t>302</t>
  </si>
  <si>
    <t>Bonded Debt Interest and Sinking Fund</t>
  </si>
  <si>
    <t>304</t>
  </si>
  <si>
    <t>Interstate Corridor Debt Service Fund</t>
  </si>
  <si>
    <t>305</t>
  </si>
  <si>
    <t>Pension Debt Redemption Fund</t>
  </si>
  <si>
    <t>307</t>
  </si>
  <si>
    <t>Airport Way Debt Service Fund</t>
  </si>
  <si>
    <t>308</t>
  </si>
  <si>
    <t>Gas Tax Bond Redemption Fund</t>
  </si>
  <si>
    <t>309</t>
  </si>
  <si>
    <t>Lents Town Center URA Debt Redemption Fund</t>
  </si>
  <si>
    <t>310</t>
  </si>
  <si>
    <t>Central Eastside Ind. District Debt Service Fund</t>
  </si>
  <si>
    <t>311</t>
  </si>
  <si>
    <t>Bancroft Bond Interest and Sinking Fund</t>
  </si>
  <si>
    <t>312</t>
  </si>
  <si>
    <t>Convention Center Area Debt Service Fund</t>
  </si>
  <si>
    <t>313</t>
  </si>
  <si>
    <t>North Macadam URA Debt Redemption Fund</t>
  </si>
  <si>
    <t>314</t>
  </si>
  <si>
    <t>Special Projects Debt Service Fund</t>
  </si>
  <si>
    <t>315</t>
  </si>
  <si>
    <t>Gateway URA Debt Redemption Fund</t>
  </si>
  <si>
    <t>316</t>
  </si>
  <si>
    <t>Willamette Industrial URA Debt Service Fund</t>
  </si>
  <si>
    <t>318</t>
  </si>
  <si>
    <t>Education URA Debt Service Fund</t>
  </si>
  <si>
    <t>319</t>
  </si>
  <si>
    <t>42nd Avenue NPI Debt Service Fund</t>
  </si>
  <si>
    <t>320</t>
  </si>
  <si>
    <t>Cully Blvd. NPI Debt Service Fund</t>
  </si>
  <si>
    <t>321</t>
  </si>
  <si>
    <t>Parkrose NPI Debt Service Fund</t>
  </si>
  <si>
    <t>322</t>
  </si>
  <si>
    <t>Rosewood NPI Debt Service Fund</t>
  </si>
  <si>
    <t>323</t>
  </si>
  <si>
    <t>Division-Midway NPI Debt Service Fund</t>
  </si>
  <si>
    <t>324</t>
  </si>
  <si>
    <t>82nd Ave/Division NPI Debt Service Fund</t>
  </si>
  <si>
    <t>609</t>
  </si>
  <si>
    <t>Sewer System Debt Redemption Fund</t>
  </si>
  <si>
    <t>610</t>
  </si>
  <si>
    <t>Golf Revenue Bond Redemption Fund</t>
  </si>
  <si>
    <t>611</t>
  </si>
  <si>
    <t>Hydroelectric Power Bond Redemption Fund</t>
  </si>
  <si>
    <t>612</t>
  </si>
  <si>
    <t>Water Bond Sinking Fund</t>
  </si>
  <si>
    <t>613</t>
  </si>
  <si>
    <t>Closed - Parking Facilities Debt Redemption Fund</t>
  </si>
  <si>
    <t>614</t>
  </si>
  <si>
    <t>Sewer System Construction Fund</t>
  </si>
  <si>
    <t>615</t>
  </si>
  <si>
    <t>Water Construction Fund</t>
  </si>
  <si>
    <t>616</t>
  </si>
  <si>
    <t>Closed - Water Growth Impact Charge Trust Fund</t>
  </si>
  <si>
    <t>617</t>
  </si>
  <si>
    <t>Sewer System Rate Stabilization Fund</t>
  </si>
  <si>
    <t>618</t>
  </si>
  <si>
    <t>Hydroelectric Power Renewal Replacement Fund</t>
  </si>
  <si>
    <t>619</t>
  </si>
  <si>
    <t>Sewer System Safety Net Fund</t>
  </si>
  <si>
    <t>620</t>
  </si>
  <si>
    <t>Sewer Revolving Loan Fund</t>
  </si>
  <si>
    <t>Workers' Comp. Self Insurance Operating Fund</t>
  </si>
  <si>
    <t>707</t>
  </si>
  <si>
    <t>Closed - Portland Police Assoc Health Insurnc Fd</t>
  </si>
  <si>
    <t>801</t>
  </si>
  <si>
    <t>Fire &amp; Police Disability &amp; Retirement Res Fund</t>
  </si>
  <si>
    <t>BO</t>
  </si>
  <si>
    <t>City Budget Office</t>
  </si>
  <si>
    <t>Fund &amp; Debt Management</t>
  </si>
  <si>
    <t>Cost Billed To</t>
  </si>
  <si>
    <t>100-OE</t>
  </si>
  <si>
    <t>100-SD</t>
  </si>
  <si>
    <t>100-ZD</t>
  </si>
  <si>
    <t>217-DS</t>
  </si>
  <si>
    <t>217-PA</t>
  </si>
  <si>
    <t>217-NI</t>
  </si>
  <si>
    <t>217-SD</t>
  </si>
  <si>
    <t>217-MY</t>
  </si>
  <si>
    <t>403-MF</t>
  </si>
  <si>
    <t>403-FR</t>
  </si>
  <si>
    <t>621-HC</t>
  </si>
  <si>
    <t>Excluded</t>
  </si>
  <si>
    <t>Cost Incurred By</t>
  </si>
  <si>
    <t>PDC</t>
  </si>
  <si>
    <t>50% Capital Discount</t>
  </si>
  <si>
    <t>Total</t>
  </si>
  <si>
    <t>Passthrough Discount</t>
  </si>
  <si>
    <t>Other Discounts</t>
  </si>
  <si>
    <t>Revised Total</t>
  </si>
  <si>
    <t>Array - Funds</t>
  </si>
  <si>
    <t>Array - Bureaus</t>
  </si>
  <si>
    <t>Billed Fund</t>
  </si>
  <si>
    <t>In Model?</t>
  </si>
  <si>
    <t>Total Cost Pool</t>
  </si>
  <si>
    <t>Allocation Percent</t>
  </si>
  <si>
    <t>Overhead Bureau Discount</t>
  </si>
  <si>
    <t>100-BO</t>
  </si>
  <si>
    <t>Notes</t>
  </si>
  <si>
    <t>Exclude expenditures for emergency mgmt (FREO000004 Fund Center)</t>
  </si>
  <si>
    <t>100 - General Fund</t>
  </si>
  <si>
    <t>200 - Transportation Operating Fund</t>
  </si>
  <si>
    <t>202 - Emergency Communication Fund</t>
  </si>
  <si>
    <t>203 - Development Services Fund</t>
  </si>
  <si>
    <t>204 - Property Management License Fund</t>
  </si>
  <si>
    <t>209 - Convention and Tourism Fund</t>
  </si>
  <si>
    <t>213 - Housing Investment Fund</t>
  </si>
  <si>
    <t>215 - Parks Local Option Levy Fund</t>
  </si>
  <si>
    <t>216 - Children's Investment Fund</t>
  </si>
  <si>
    <t>221 - Tax Increment Financing Reimbursement Fund</t>
  </si>
  <si>
    <t>400 - BFRES Facilities GO Bond Construction Fund</t>
  </si>
  <si>
    <t>401 - Local Improvement District Fund</t>
  </si>
  <si>
    <t>402 - Parks Capital Improvement Program Fund</t>
  </si>
  <si>
    <t>403 - Public Safety GO Bond Fund</t>
  </si>
  <si>
    <t>600 - Sewer System Operating Fund</t>
  </si>
  <si>
    <t>601 - Hydroelectric Power Operating Fund</t>
  </si>
  <si>
    <t>602 - Water Fund</t>
  </si>
  <si>
    <t>603 - Golf Fund</t>
  </si>
  <si>
    <t>604 - Portland International Raceway Fund</t>
  </si>
  <si>
    <t>605 - Solid Waste Management Fund</t>
  </si>
  <si>
    <t>606 - Parking Facilities Fund</t>
  </si>
  <si>
    <t>607 - Spectator Facilities Operating Fund</t>
  </si>
  <si>
    <t>608 - Environmental Remediation Fund</t>
  </si>
  <si>
    <t>700 - Health Insurance Operating Fund</t>
  </si>
  <si>
    <t>701 - Facilities Services Operating Fund</t>
  </si>
  <si>
    <t>702 - CityFleet Operating Fund</t>
  </si>
  <si>
    <t>703 - Printing &amp; Distribution Services Operating Fund</t>
  </si>
  <si>
    <t>704 - Insurance and Claims Operating Fund</t>
  </si>
  <si>
    <t>705 - Workers' Comp. Self Insurance Operating Fund</t>
  </si>
  <si>
    <t>706 - Technology Services Fund</t>
  </si>
  <si>
    <t>708 - EBS Services Fund</t>
  </si>
  <si>
    <t>800 - Fire &amp; Police Disability &amp; Retirement Fund</t>
  </si>
  <si>
    <t>PDC - Portland Development Commission</t>
  </si>
  <si>
    <t>Grand Total</t>
  </si>
  <si>
    <t>Excludes retirement payouts, PERS contributions, and disability/death benefits (547000, 547100)</t>
  </si>
  <si>
    <t>Portland Children's Levy Allocation</t>
  </si>
  <si>
    <t>Cost Pool to Allocate</t>
  </si>
  <si>
    <t>Fixed at $25,000 (hardcoded in Model)</t>
  </si>
  <si>
    <t>Position Count from SAP</t>
  </si>
  <si>
    <t>Revised Position Count</t>
  </si>
  <si>
    <t>CAL Target</t>
  </si>
  <si>
    <t>Emergency mgmt (FREO000004 Fund Center)</t>
  </si>
  <si>
    <t>City memberships and dues (MFSA000002)</t>
  </si>
  <si>
    <t>207-MF</t>
  </si>
  <si>
    <t>301-FM</t>
  </si>
  <si>
    <t>614-ES</t>
  </si>
  <si>
    <t>707-MF</t>
  </si>
  <si>
    <t>Exclude expenditures for City memberships and dues (MFSA000002)</t>
  </si>
  <si>
    <t>50% discount for operating projects</t>
  </si>
  <si>
    <t>Allocated Fund</t>
  </si>
  <si>
    <t>True-Up Weighted %</t>
  </si>
  <si>
    <t>CAL Weighted %</t>
  </si>
  <si>
    <t xml:space="preserve"> </t>
  </si>
  <si>
    <t>Exclude Commissioner's Office (PACO000001)</t>
  </si>
  <si>
    <t>100-FM</t>
  </si>
  <si>
    <t>206-MF</t>
  </si>
  <si>
    <t>100% Overhead</t>
  </si>
  <si>
    <t>201-AU</t>
  </si>
  <si>
    <t>Difference</t>
  </si>
  <si>
    <t>Property Management License</t>
  </si>
  <si>
    <t>Cable Fund</t>
  </si>
  <si>
    <t>Convention &amp; Tourism</t>
  </si>
  <si>
    <t>Other Adjustments</t>
  </si>
  <si>
    <t>Vacant Casuals</t>
  </si>
  <si>
    <t>MHCRC Agency Fund</t>
  </si>
  <si>
    <t>223-MF</t>
  </si>
  <si>
    <t>206 - MHCRC Agency Fund</t>
  </si>
  <si>
    <t>223 - Arts Education &amp; Access Fund</t>
  </si>
  <si>
    <t>Fixed charge</t>
  </si>
  <si>
    <t>Overhead Only</t>
  </si>
  <si>
    <t>What's in BRASS</t>
  </si>
  <si>
    <t>Amount plugged to keep overhead split the same</t>
  </si>
  <si>
    <t>Plug to maintain CAL split</t>
  </si>
  <si>
    <t>Adopted Budget</t>
  </si>
  <si>
    <t>Proposed Changes</t>
  </si>
  <si>
    <t>Approved Changes</t>
  </si>
  <si>
    <t>Adopted Changes</t>
  </si>
  <si>
    <t>FY 2013-14 Actuals</t>
  </si>
  <si>
    <t>FY 2013-14 Positions</t>
  </si>
  <si>
    <t>224-PN</t>
  </si>
  <si>
    <t>319-FM</t>
  </si>
  <si>
    <t>320-FM</t>
  </si>
  <si>
    <t>322-FM</t>
  </si>
  <si>
    <t>323-FM</t>
  </si>
  <si>
    <t>Debt Service related expenses</t>
  </si>
  <si>
    <t>Excludes risk mgmt claim payouts (529700)</t>
  </si>
  <si>
    <t>Total Pool</t>
  </si>
  <si>
    <t>Only Functional Area LAMYAS</t>
  </si>
  <si>
    <t>Recovery Rate</t>
  </si>
  <si>
    <t>Community Solar Fund</t>
  </si>
  <si>
    <t>224</t>
  </si>
  <si>
    <t>224 - Community Solar Fund</t>
  </si>
  <si>
    <t xml:space="preserve"> True-Up Adjustments</t>
  </si>
  <si>
    <t>GF Disc</t>
  </si>
  <si>
    <t>GF OVHD</t>
  </si>
  <si>
    <t>GF Backfill</t>
  </si>
  <si>
    <t>FY 2014-15 Actuals</t>
  </si>
  <si>
    <t>FY 2014-15 Positions</t>
  </si>
  <si>
    <t>321-FM</t>
  </si>
  <si>
    <t>324-FM</t>
  </si>
  <si>
    <t>Exclude expenditures for Information &amp; Referral and Public Involvement best practices (CDIR - Info &amp; Rfrrl org unit for positions, CDNRNOPI - no positions)</t>
  </si>
  <si>
    <t>Exclude expenditures for Admin &amp; Support (LAMYAS Functional Area), include only OYVP for positions</t>
  </si>
  <si>
    <t>Citywide Comm, Training, Tech Support and % admin (CDCE, CDCR &amp; % of CDAS)</t>
  </si>
  <si>
    <r>
      <t>Comp Planning</t>
    </r>
    <r>
      <rPr>
        <sz val="10"/>
        <color rgb="FFFF0000"/>
        <rFont val="Arial"/>
        <family val="2"/>
      </rPr>
      <t xml:space="preserve"> </t>
    </r>
    <r>
      <rPr>
        <sz val="10"/>
        <rFont val="Arial"/>
        <family val="2"/>
      </rPr>
      <t>&amp; 1/2 of district liaisons (CDAPDI, CDCPCM)</t>
    </r>
  </si>
  <si>
    <t>Actuals</t>
  </si>
  <si>
    <t>Array - Crosswalk</t>
  </si>
  <si>
    <t>% Change</t>
  </si>
  <si>
    <t>Difference (GF Backfill)</t>
  </si>
  <si>
    <t>Adopted Decision Pkgs</t>
  </si>
  <si>
    <t>Requested Budget</t>
  </si>
  <si>
    <t>Proposed Decision Pkgs</t>
  </si>
  <si>
    <t>Approved Decision Pkgs</t>
  </si>
  <si>
    <t>Exclude expenditures for Citywide Equity, Civil Rights, and % admin (CDCE, CDCR &amp; portion CDAS) - use base budget for position allocations</t>
  </si>
  <si>
    <r>
      <t>Exclude expenditures for Comp Planning</t>
    </r>
    <r>
      <rPr>
        <sz val="10"/>
        <color rgb="FFFF0000"/>
        <rFont val="Arial"/>
        <family val="2"/>
      </rPr>
      <t xml:space="preserve"> </t>
    </r>
    <r>
      <rPr>
        <sz val="10"/>
        <rFont val="Arial"/>
        <family val="2"/>
      </rPr>
      <t>&amp; 1/2 of district liaisons (CDAPDI - Dist Plan org unit for positions, CDCPCM - use base budget for positions)</t>
    </r>
  </si>
  <si>
    <t>FY 2015-16 Actuals</t>
  </si>
  <si>
    <t>FY 2015-16 Positions</t>
  </si>
  <si>
    <t>400-FR</t>
  </si>
  <si>
    <t>FY 2017-18 CAL Charge</t>
  </si>
  <si>
    <t>Over last 3 years, budget has increased 36% and FTE 42%</t>
  </si>
  <si>
    <t>budget size volatility, budget increased from $1.1M to $2.2M over last 2 years</t>
  </si>
  <si>
    <t>No spending in previous fiscal year</t>
  </si>
  <si>
    <t>budget size volatility, expenses were $5.8M, $11.8M, and $8.3M over last 3 years</t>
  </si>
  <si>
    <t>Budget size volatility, spiked to $670K in 14/15</t>
  </si>
  <si>
    <t>Budget size volatility</t>
  </si>
  <si>
    <t>Bureau changed treatment of vacant casuals, 4 years were 74, 6, 8, and 6</t>
  </si>
  <si>
    <t>Budget spiked in 15/16 to $4.9M, was $3.1 in 12/13</t>
  </si>
  <si>
    <t>Started excluding claim payouts from budget size in 15-16 model (now all years at lower budget size)</t>
  </si>
  <si>
    <t>Budget size volatility, 12-13 was $2.4M, 15-16 was $3.5M</t>
  </si>
  <si>
    <t>Overhead Allocation Changes</t>
  </si>
  <si>
    <t>Exclude IPR starting in FY 2017-18 actuals</t>
  </si>
  <si>
    <t>Exclude Independent Police Review (AUCA000002)</t>
  </si>
  <si>
    <t>Proposed Notes</t>
  </si>
  <si>
    <t xml:space="preserve">Information &amp; Referral and Public Involvement best practices (CDIR, CDNRNOPI, PSCPMH) </t>
  </si>
  <si>
    <t>Includes the old paramenters of CDAPDI and CDCPCM</t>
  </si>
  <si>
    <t>added 2814 for increased COLA</t>
  </si>
  <si>
    <t>added 1492 for increased COLA</t>
  </si>
  <si>
    <t>added $123770 for mental health specialist and 4070 for City Hall</t>
  </si>
  <si>
    <t>AUCA000002</t>
  </si>
  <si>
    <t>FREO000004 has 1 person as of 1/1/2017</t>
  </si>
  <si>
    <t>OYVP has 2 filled positions as of 1/1/2017</t>
  </si>
  <si>
    <t>FY 2016-17 Actuals</t>
  </si>
  <si>
    <t>FY 2016-17 Positions</t>
  </si>
  <si>
    <t>Exclude MFHR, MFDR, MFPU, MFOP, and MFFS cost centers. Beginning FY 18-19 need to also adjust for MFRB000002 functional area LACROPBAAR (accounts receiveable)</t>
  </si>
  <si>
    <t>FY 2016-17</t>
  </si>
  <si>
    <t>FY 2018-19 CAL Charge</t>
  </si>
  <si>
    <t>Sum of FY 2018-19 CAL Charge</t>
  </si>
  <si>
    <t>IPR has 14 people as of 1/1/2017 12 filled, 2 vacant</t>
  </si>
  <si>
    <t xml:space="preserve"> FY 2018-19 CAL Charge</t>
  </si>
  <si>
    <t>This was wrong</t>
  </si>
  <si>
    <t>Dropped from 5 FTE to 3 FTE</t>
  </si>
  <si>
    <t>Currently in BRASS</t>
  </si>
  <si>
    <t>Overhead Allocations for Approved Budget</t>
  </si>
  <si>
    <t>MFHR, MFDR, MFPU, MFOP, and MFFS cost centers; be sure to accommodate Design and Construction group functional area change!!!</t>
  </si>
  <si>
    <t>225-HC</t>
  </si>
  <si>
    <t>FREO000004 has 1 person as of 1/1/2018</t>
  </si>
  <si>
    <t>IPR has 17 people allocated in v55 total for 18-19</t>
  </si>
  <si>
    <t>MFDR=8+1</t>
  </si>
  <si>
    <t>MFHR=64+7</t>
  </si>
  <si>
    <t>MFPU=35+6</t>
  </si>
  <si>
    <t>MFFS=28+6</t>
  </si>
  <si>
    <t>MFOP=38+2</t>
  </si>
  <si>
    <t>OYVP has 2 filled positions as of v55 for 18-19</t>
  </si>
  <si>
    <t>214-SA</t>
  </si>
  <si>
    <t>226-HC</t>
  </si>
  <si>
    <t>227-PL</t>
  </si>
  <si>
    <t>404-HC</t>
  </si>
  <si>
    <t>618-WA</t>
  </si>
  <si>
    <t>Remove from model in this year</t>
  </si>
  <si>
    <t>FREO000004</t>
  </si>
  <si>
    <t>CDIR=514314</t>
  </si>
  <si>
    <t>CDNRNOPI=115029</t>
  </si>
  <si>
    <t>Fund Number</t>
  </si>
  <si>
    <t>FY included in model</t>
  </si>
  <si>
    <t>FY removed</t>
  </si>
  <si>
    <t>Date Created</t>
  </si>
  <si>
    <t>FY created</t>
  </si>
  <si>
    <t>FY 2020-21</t>
  </si>
  <si>
    <t>FY 2019-20</t>
  </si>
  <si>
    <t>Fire will exhaust all the money in fund 403 and it will be closed at the end of FY 2018-19. Please remove it for FY 2019-20 per OMF Aaron Beck. Fund 400 will remain in the GFOH model though.</t>
  </si>
  <si>
    <t xml:space="preserve">We do not include this in the model </t>
  </si>
  <si>
    <t>This fund was previously closed but has been re-opened. We will need to include it after three years of actuals. The first year of actuals that is hitting after it is closed is FY 2017-18</t>
  </si>
  <si>
    <t>"FY 2017-18"</t>
  </si>
  <si>
    <t>FY 2021-22</t>
  </si>
  <si>
    <t>Costs will hit 226-HC</t>
  </si>
  <si>
    <t>Costs will hit 227-PL per bob delgizzi</t>
  </si>
  <si>
    <t>Costs will hit 404 per mike johnson with 50% operating project discount</t>
  </si>
  <si>
    <t>FY 2017-18 Actuals</t>
  </si>
  <si>
    <t>FY 2017-18 Positions</t>
  </si>
  <si>
    <t>FY 2017-18 True-Up</t>
  </si>
  <si>
    <t>FY 2017-18 True-Up Charge</t>
  </si>
  <si>
    <t>FY 2019-20 CAL Charge</t>
  </si>
  <si>
    <t>FY 2019-20 with True-Up</t>
  </si>
  <si>
    <t>Exclude fund 403-FR</t>
  </si>
  <si>
    <t>FY 2017-18</t>
  </si>
  <si>
    <t>Excludes insurance claim payouts (529721 in subfund 700000 and 521900 in subfund 700001)</t>
  </si>
  <si>
    <t>PPA fund createded April 2017</t>
  </si>
  <si>
    <t>No</t>
  </si>
  <si>
    <t>CDAPDI = 572923+76223</t>
  </si>
  <si>
    <t>CDCPCM = 1011340+148414</t>
  </si>
  <si>
    <t>Sum of FY 2019-20 CAL Charge</t>
  </si>
  <si>
    <t>Sum of FY 2019-20 with True-Up</t>
  </si>
  <si>
    <t>Sum of Difference</t>
  </si>
  <si>
    <t>Sum of FY 2017-18 True-Up</t>
  </si>
  <si>
    <t>This jumped to almost $2M from $600k from 16-17 to 17-18</t>
  </si>
  <si>
    <t>Proposed Budget</t>
  </si>
  <si>
    <t>FY 2019-20 General Fund 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</si>
</sst>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0.000%"/>
    <numFmt numFmtId="166" formatCode="_(* #,##0.0000_);_(* \(#,##0.0000\);_(* &quot;-&quot;??_);_(@_)"/>
    <numFmt numFmtId="167" formatCode="0.0000"/>
    <numFmt numFmtId="168" formatCode="_(* #,##0.0_);_(* \(#,##0.0\);_(* &quot;-&quot;??_);_(@_)"/>
    <numFmt numFmtId="169" formatCode="_(* #,##0.000_);_(* \(#,##0.000\);_(* &quot;-&quot;??_);_(@_)"/>
    <numFmt numFmtId="170" formatCode="0.00000%"/>
    <numFmt numFmtId="171" formatCode="0.0%"/>
    <numFmt numFmtId="172" formatCode="_(* #,##0.00000000000_);_(* \(#,##0.00000000000\);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font>
    <font>
      <sz val="11"/>
      <color theme="1"/>
      <name val="Calibri"/>
      <family val="2"/>
    </font>
    <font>
      <sz val="11"/>
      <color theme="1"/>
      <name val="Calibri"/>
      <family val="2"/>
    </font>
    <font>
      <sz val="10"/>
      <name val="Arial"/>
      <family val="2"/>
    </font>
    <font>
      <b/>
      <sz val="10"/>
      <name val="Arial"/>
      <family val="2"/>
    </font>
    <font>
      <sz val="10"/>
      <color rgb="FFFF0000"/>
      <name val="Arial"/>
      <family val="2"/>
    </font>
    <font>
      <sz val="11"/>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11"/>
      <name val="Calibri"/>
      <family val="2"/>
      <scheme val="minor"/>
    </font>
    <font>
      <sz val="10"/>
      <color theme="1"/>
      <name val="Arial"/>
      <family val="2"/>
    </font>
    <font>
      <sz val="20"/>
      <name val="Arial"/>
      <family val="2"/>
    </font>
    <font>
      <b/>
      <u/>
      <sz val="10"/>
      <name val="Arial"/>
      <family val="2"/>
    </font>
    <font>
      <b/>
      <sz val="14"/>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charset val="1"/>
    </font>
    <font>
      <b/>
      <sz val="9"/>
      <color indexed="81"/>
      <name val="Tahoma"/>
      <charset val="1"/>
    </font>
  </fonts>
  <fills count="43">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0000"/>
        <bgColor indexed="64"/>
      </patternFill>
    </fill>
    <fill>
      <patternFill patternType="solid">
        <fgColor theme="3" tint="0.79998168889431442"/>
        <bgColor indexed="64"/>
      </patternFill>
    </fill>
  </fills>
  <borders count="16">
    <border>
      <left/>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4" tint="0.39997558519241921"/>
      </bottom>
      <diagonal/>
    </border>
    <border>
      <left/>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177">
    <xf numFmtId="0" fontId="0" fillId="0" borderId="0"/>
    <xf numFmtId="43" fontId="6" fillId="0" borderId="0" applyFont="0" applyFill="0" applyBorder="0" applyAlignment="0" applyProtection="0"/>
    <xf numFmtId="9" fontId="6" fillId="0" borderId="0" applyFont="0" applyFill="0" applyBorder="0" applyAlignment="0" applyProtection="0"/>
    <xf numFmtId="0" fontId="9" fillId="0" borderId="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9" borderId="0" applyNumberFormat="0" applyBorder="0" applyAlignment="0" applyProtection="0"/>
    <xf numFmtId="0" fontId="17" fillId="10" borderId="0" applyNumberFormat="0" applyBorder="0" applyAlignment="0" applyProtection="0"/>
    <xf numFmtId="0" fontId="18" fillId="11" borderId="0" applyNumberFormat="0" applyBorder="0" applyAlignment="0" applyProtection="0"/>
    <xf numFmtId="0" fontId="19" fillId="12" borderId="5" applyNumberFormat="0" applyAlignment="0" applyProtection="0"/>
    <xf numFmtId="0" fontId="20" fillId="13" borderId="6" applyNumberFormat="0" applyAlignment="0" applyProtection="0"/>
    <xf numFmtId="0" fontId="21" fillId="13" borderId="5" applyNumberFormat="0" applyAlignment="0" applyProtection="0"/>
    <xf numFmtId="0" fontId="22" fillId="0" borderId="7" applyNumberFormat="0" applyFill="0" applyAlignment="0" applyProtection="0"/>
    <xf numFmtId="0" fontId="23" fillId="14" borderId="8"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27" fillId="39" borderId="0" applyNumberFormat="0" applyBorder="0" applyAlignment="0" applyProtection="0"/>
    <xf numFmtId="0" fontId="6" fillId="0" borderId="0"/>
    <xf numFmtId="0" fontId="5" fillId="15" borderId="9"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4" fillId="15" borderId="9"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15" borderId="9"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15" borderId="9"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15" borderId="9"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15" borderId="9"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9" borderId="0" applyNumberFormat="0" applyBorder="0" applyAlignment="0" applyProtection="0"/>
    <xf numFmtId="0" fontId="38" fillId="10" borderId="0" applyNumberFormat="0" applyBorder="0" applyAlignment="0" applyProtection="0"/>
    <xf numFmtId="0" fontId="39" fillId="11" borderId="0" applyNumberFormat="0" applyBorder="0" applyAlignment="0" applyProtection="0"/>
    <xf numFmtId="0" fontId="40" fillId="12" borderId="5" applyNumberFormat="0" applyAlignment="0" applyProtection="0"/>
    <xf numFmtId="0" fontId="41" fillId="13" borderId="6" applyNumberFormat="0" applyAlignment="0" applyProtection="0"/>
    <xf numFmtId="0" fontId="42" fillId="13" borderId="5" applyNumberFormat="0" applyAlignment="0" applyProtection="0"/>
    <xf numFmtId="0" fontId="43" fillId="0" borderId="7" applyNumberFormat="0" applyFill="0" applyAlignment="0" applyProtection="0"/>
    <xf numFmtId="0" fontId="44" fillId="14" borderId="8" applyNumberFormat="0" applyAlignment="0" applyProtection="0"/>
    <xf numFmtId="0" fontId="45" fillId="0" borderId="0" applyNumberFormat="0" applyFill="0" applyBorder="0" applyAlignment="0" applyProtection="0"/>
    <xf numFmtId="0" fontId="2" fillId="15" borderId="9" applyNumberFormat="0" applyFont="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48" fillId="39" borderId="0" applyNumberFormat="0" applyBorder="0" applyAlignment="0" applyProtection="0"/>
    <xf numFmtId="0" fontId="1" fillId="0" borderId="0"/>
  </cellStyleXfs>
  <cellXfs count="173">
    <xf numFmtId="0" fontId="0" fillId="0" borderId="0" xfId="0"/>
    <xf numFmtId="0" fontId="7" fillId="3" borderId="0" xfId="0" applyFont="1" applyFill="1"/>
    <xf numFmtId="0" fontId="0" fillId="3" borderId="0" xfId="0" applyFill="1"/>
    <xf numFmtId="0" fontId="7" fillId="4" borderId="0" xfId="0" applyFont="1" applyFill="1"/>
    <xf numFmtId="0" fontId="0" fillId="4" borderId="0" xfId="0" applyFill="1"/>
    <xf numFmtId="0" fontId="6" fillId="0" borderId="0" xfId="0" applyFont="1" applyAlignment="1">
      <alignment horizontal="center" wrapText="1"/>
    </xf>
    <xf numFmtId="164" fontId="0" fillId="0" borderId="0" xfId="1" applyNumberFormat="1" applyFont="1"/>
    <xf numFmtId="164" fontId="6" fillId="0" borderId="0" xfId="1" applyNumberFormat="1" applyFont="1" applyAlignment="1">
      <alignment horizontal="center" wrapText="1"/>
    </xf>
    <xf numFmtId="164" fontId="6" fillId="0" borderId="0" xfId="1" applyNumberFormat="1" applyFont="1" applyAlignment="1">
      <alignment horizontal="center"/>
    </xf>
    <xf numFmtId="164" fontId="0" fillId="0" borderId="0" xfId="0" applyNumberFormat="1"/>
    <xf numFmtId="0" fontId="0" fillId="0" borderId="0" xfId="0" applyAlignment="1">
      <alignment horizontal="left"/>
    </xf>
    <xf numFmtId="0" fontId="6" fillId="5" borderId="0" xfId="0" applyFont="1" applyFill="1"/>
    <xf numFmtId="0" fontId="0" fillId="0" borderId="0" xfId="0" applyFill="1"/>
    <xf numFmtId="165" fontId="6" fillId="0" borderId="0" xfId="0" applyNumberFormat="1" applyFont="1" applyAlignment="1">
      <alignment horizontal="center" wrapText="1"/>
    </xf>
    <xf numFmtId="0" fontId="9" fillId="0" borderId="0" xfId="3" applyFont="1"/>
    <xf numFmtId="165" fontId="9" fillId="0" borderId="0" xfId="3" applyNumberFormat="1" applyFont="1"/>
    <xf numFmtId="0" fontId="28" fillId="0" borderId="0" xfId="0" applyFont="1"/>
    <xf numFmtId="165" fontId="28" fillId="0" borderId="0" xfId="0" applyNumberFormat="1" applyFont="1" applyAlignment="1">
      <alignment horizontal="center" wrapText="1"/>
    </xf>
    <xf numFmtId="165" fontId="28" fillId="0" borderId="0" xfId="2" applyNumberFormat="1" applyFont="1"/>
    <xf numFmtId="164" fontId="0" fillId="0" borderId="0" xfId="0" pivotButton="1" applyNumberFormat="1"/>
    <xf numFmtId="164" fontId="0" fillId="5" borderId="0" xfId="1" applyNumberFormat="1" applyFont="1" applyFill="1" applyAlignment="1">
      <alignment horizontal="left"/>
    </xf>
    <xf numFmtId="0" fontId="28" fillId="0" borderId="0" xfId="0" applyFont="1" applyAlignment="1">
      <alignment horizontal="center" wrapText="1"/>
    </xf>
    <xf numFmtId="0" fontId="6" fillId="0" borderId="0" xfId="44" applyNumberFormat="1" applyFont="1" applyFill="1"/>
    <xf numFmtId="164" fontId="0" fillId="0" borderId="0" xfId="1" applyNumberFormat="1" applyFont="1" applyAlignment="1">
      <alignment horizontal="center"/>
    </xf>
    <xf numFmtId="0" fontId="0" fillId="0" borderId="0" xfId="0"/>
    <xf numFmtId="0" fontId="6" fillId="0" borderId="0" xfId="0" applyFont="1"/>
    <xf numFmtId="164" fontId="0" fillId="0" borderId="0" xfId="1" applyNumberFormat="1" applyFont="1"/>
    <xf numFmtId="0" fontId="0" fillId="0" borderId="0" xfId="0" applyAlignment="1">
      <alignment horizontal="left"/>
    </xf>
    <xf numFmtId="164" fontId="0" fillId="0" borderId="0" xfId="1" applyNumberFormat="1" applyFont="1" applyFill="1"/>
    <xf numFmtId="0" fontId="6" fillId="0" borderId="0" xfId="0" applyFont="1" applyFill="1"/>
    <xf numFmtId="0" fontId="7" fillId="0" borderId="0" xfId="0" applyFont="1" applyAlignment="1">
      <alignment horizontal="center"/>
    </xf>
    <xf numFmtId="164" fontId="0" fillId="0" borderId="11" xfId="1" applyNumberFormat="1" applyFont="1" applyBorder="1"/>
    <xf numFmtId="0" fontId="0" fillId="0" borderId="0" xfId="0"/>
    <xf numFmtId="0" fontId="6" fillId="0" borderId="0" xfId="0" applyFont="1"/>
    <xf numFmtId="164" fontId="0" fillId="0" borderId="0" xfId="1" applyNumberFormat="1" applyFont="1"/>
    <xf numFmtId="165" fontId="0" fillId="0" borderId="0" xfId="0" applyNumberFormat="1"/>
    <xf numFmtId="0" fontId="0" fillId="0" borderId="0" xfId="0" applyAlignment="1">
      <alignment horizontal="left"/>
    </xf>
    <xf numFmtId="165" fontId="0" fillId="6" borderId="0" xfId="2" applyNumberFormat="1" applyFont="1" applyFill="1"/>
    <xf numFmtId="165" fontId="0" fillId="7" borderId="0" xfId="2" applyNumberFormat="1" applyFont="1" applyFill="1"/>
    <xf numFmtId="165" fontId="0" fillId="8" borderId="0" xfId="0" applyNumberFormat="1" applyFill="1"/>
    <xf numFmtId="165" fontId="0" fillId="0" borderId="0" xfId="2" applyNumberFormat="1" applyFont="1"/>
    <xf numFmtId="0" fontId="7" fillId="0" borderId="1" xfId="0" applyFont="1" applyBorder="1" applyAlignment="1">
      <alignment horizontal="left" wrapText="1"/>
    </xf>
    <xf numFmtId="0" fontId="7" fillId="7" borderId="1" xfId="0" applyFont="1" applyFill="1" applyBorder="1" applyAlignment="1">
      <alignment horizontal="center" wrapText="1"/>
    </xf>
    <xf numFmtId="0" fontId="7" fillId="6" borderId="1" xfId="0" applyFont="1" applyFill="1" applyBorder="1" applyAlignment="1">
      <alignment horizontal="center" wrapText="1"/>
    </xf>
    <xf numFmtId="0" fontId="7" fillId="8" borderId="1" xfId="0" applyFont="1" applyFill="1" applyBorder="1" applyAlignment="1">
      <alignment horizontal="center" wrapText="1"/>
    </xf>
    <xf numFmtId="0" fontId="0" fillId="0" borderId="0" xfId="0" applyFill="1" applyAlignment="1">
      <alignment vertical="top" wrapText="1"/>
    </xf>
    <xf numFmtId="0" fontId="7" fillId="2" borderId="0" xfId="0" applyFont="1" applyFill="1" applyAlignment="1">
      <alignment vertical="top"/>
    </xf>
    <xf numFmtId="0" fontId="7" fillId="0" borderId="0" xfId="0" applyFont="1" applyFill="1" applyAlignment="1">
      <alignment vertical="top" wrapText="1"/>
    </xf>
    <xf numFmtId="0" fontId="0" fillId="2" borderId="0" xfId="0" applyFill="1" applyAlignment="1">
      <alignment vertical="top"/>
    </xf>
    <xf numFmtId="0" fontId="8" fillId="0" borderId="0" xfId="0" applyFont="1" applyFill="1" applyAlignment="1">
      <alignment vertical="top" wrapText="1"/>
    </xf>
    <xf numFmtId="0" fontId="8" fillId="2" borderId="0" xfId="0" applyFont="1" applyFill="1" applyAlignment="1">
      <alignment vertical="top"/>
    </xf>
    <xf numFmtId="0" fontId="6" fillId="0" borderId="0" xfId="0" applyFont="1" applyAlignment="1">
      <alignment vertical="top" wrapText="1"/>
    </xf>
    <xf numFmtId="0" fontId="6" fillId="2" borderId="0" xfId="0" applyFont="1" applyFill="1" applyAlignment="1">
      <alignment vertical="top"/>
    </xf>
    <xf numFmtId="0" fontId="6" fillId="0" borderId="0" xfId="0" applyFont="1" applyFill="1" applyAlignment="1">
      <alignment vertical="top" wrapText="1"/>
    </xf>
    <xf numFmtId="0" fontId="0" fillId="0" borderId="0" xfId="0" applyAlignment="1">
      <alignment vertical="top" wrapText="1"/>
    </xf>
    <xf numFmtId="0" fontId="0" fillId="5" borderId="0" xfId="0" applyFill="1" applyAlignment="1">
      <alignment vertical="top"/>
    </xf>
    <xf numFmtId="0" fontId="0" fillId="0" borderId="0" xfId="0" applyAlignment="1">
      <alignment vertical="top"/>
    </xf>
    <xf numFmtId="0" fontId="0" fillId="0" borderId="0" xfId="0" applyFont="1"/>
    <xf numFmtId="164" fontId="7" fillId="40" borderId="1" xfId="1" applyNumberFormat="1" applyFont="1" applyFill="1" applyBorder="1" applyAlignment="1">
      <alignment horizontal="center" wrapText="1"/>
    </xf>
    <xf numFmtId="164" fontId="0" fillId="40" borderId="0" xfId="1" applyNumberFormat="1" applyFont="1" applyFill="1"/>
    <xf numFmtId="0" fontId="29" fillId="0" borderId="12" xfId="0" applyFont="1" applyBorder="1" applyAlignment="1">
      <alignment horizontal="left"/>
    </xf>
    <xf numFmtId="0" fontId="29" fillId="0" borderId="12" xfId="0" applyNumberFormat="1" applyFont="1" applyBorder="1"/>
    <xf numFmtId="164" fontId="0" fillId="41" borderId="0" xfId="1" applyNumberFormat="1" applyFont="1" applyFill="1"/>
    <xf numFmtId="0" fontId="29" fillId="0" borderId="0" xfId="0" applyNumberFormat="1" applyFont="1" applyBorder="1"/>
    <xf numFmtId="166" fontId="0" fillId="0" borderId="0" xfId="0" applyNumberFormat="1"/>
    <xf numFmtId="164" fontId="6" fillId="0" borderId="0" xfId="1" applyNumberFormat="1" applyFont="1"/>
    <xf numFmtId="0" fontId="0" fillId="0" borderId="0" xfId="0" applyAlignment="1">
      <alignment wrapText="1"/>
    </xf>
    <xf numFmtId="0" fontId="7" fillId="0" borderId="0" xfId="0" applyFont="1" applyAlignment="1">
      <alignment horizontal="right"/>
    </xf>
    <xf numFmtId="164" fontId="7" fillId="0" borderId="0" xfId="0" applyNumberFormat="1" applyFont="1"/>
    <xf numFmtId="0" fontId="0" fillId="0" borderId="0" xfId="0" applyFont="1" applyAlignment="1">
      <alignment horizontal="left"/>
    </xf>
    <xf numFmtId="43" fontId="6" fillId="0" borderId="0" xfId="0" applyNumberFormat="1" applyFont="1"/>
    <xf numFmtId="164" fontId="6" fillId="0" borderId="0" xfId="1" applyNumberFormat="1" applyFont="1" applyFill="1"/>
    <xf numFmtId="0" fontId="0" fillId="0" borderId="0" xfId="0" applyBorder="1"/>
    <xf numFmtId="164" fontId="0" fillId="0" borderId="13" xfId="0" applyNumberFormat="1" applyBorder="1"/>
    <xf numFmtId="0" fontId="0" fillId="0" borderId="13" xfId="0" applyBorder="1"/>
    <xf numFmtId="0" fontId="31" fillId="0" borderId="0" xfId="0" applyFont="1" applyAlignment="1">
      <alignment horizontal="center" wrapText="1"/>
    </xf>
    <xf numFmtId="167" fontId="0" fillId="0" borderId="0" xfId="0" applyNumberFormat="1"/>
    <xf numFmtId="0" fontId="0" fillId="0" borderId="0" xfId="0" applyFill="1" applyBorder="1"/>
    <xf numFmtId="9" fontId="0" fillId="0" borderId="0" xfId="2" applyFont="1"/>
    <xf numFmtId="10" fontId="0" fillId="0" borderId="0" xfId="2" applyNumberFormat="1" applyFont="1"/>
    <xf numFmtId="164" fontId="0" fillId="0" borderId="0" xfId="1" applyNumberFormat="1" applyFont="1" applyFill="1" applyBorder="1"/>
    <xf numFmtId="164" fontId="6" fillId="0" borderId="0" xfId="1" applyNumberFormat="1" applyFont="1" applyFill="1" applyBorder="1"/>
    <xf numFmtId="164" fontId="7" fillId="3" borderId="0" xfId="1" applyNumberFormat="1" applyFont="1" applyFill="1" applyBorder="1" applyAlignment="1">
      <alignment horizontal="center"/>
    </xf>
    <xf numFmtId="0" fontId="7" fillId="3" borderId="0" xfId="0" applyFont="1" applyFill="1" applyBorder="1" applyAlignment="1">
      <alignment horizontal="center"/>
    </xf>
    <xf numFmtId="164" fontId="7" fillId="6" borderId="0" xfId="1" applyNumberFormat="1" applyFont="1" applyFill="1" applyBorder="1" applyAlignment="1">
      <alignment horizontal="center"/>
    </xf>
    <xf numFmtId="168" fontId="0" fillId="0" borderId="0" xfId="1" applyNumberFormat="1" applyFont="1"/>
    <xf numFmtId="168" fontId="0" fillId="0" borderId="0" xfId="1" applyNumberFormat="1" applyFont="1" applyFill="1"/>
    <xf numFmtId="164" fontId="28" fillId="0" borderId="0" xfId="1" applyNumberFormat="1" applyFont="1" applyAlignment="1">
      <alignment horizontal="center" wrapText="1"/>
    </xf>
    <xf numFmtId="0" fontId="0" fillId="2" borderId="0" xfId="0" applyFill="1"/>
    <xf numFmtId="164" fontId="0" fillId="0" borderId="0" xfId="0" applyNumberFormat="1" applyFill="1"/>
    <xf numFmtId="169" fontId="0" fillId="0" borderId="0" xfId="1" applyNumberFormat="1" applyFont="1" applyFill="1"/>
    <xf numFmtId="164" fontId="8" fillId="0" borderId="0" xfId="0" applyNumberFormat="1" applyFont="1"/>
    <xf numFmtId="0" fontId="0" fillId="0" borderId="0" xfId="0" applyAlignment="1">
      <alignment horizontal="right"/>
    </xf>
    <xf numFmtId="0" fontId="7" fillId="42" borderId="0" xfId="0" applyFont="1" applyFill="1"/>
    <xf numFmtId="164" fontId="7" fillId="42" borderId="0" xfId="0" applyNumberFormat="1" applyFont="1" applyFill="1" applyAlignment="1">
      <alignment horizontal="center" wrapText="1"/>
    </xf>
    <xf numFmtId="0" fontId="7" fillId="42" borderId="0" xfId="0" applyFont="1" applyFill="1" applyAlignment="1">
      <alignment horizontal="center" wrapText="1"/>
    </xf>
    <xf numFmtId="164" fontId="7" fillId="42" borderId="0" xfId="0" applyNumberFormat="1" applyFont="1" applyFill="1"/>
    <xf numFmtId="0" fontId="7" fillId="0" borderId="14" xfId="0" applyFont="1" applyFill="1" applyBorder="1"/>
    <xf numFmtId="164" fontId="7" fillId="0" borderId="14" xfId="0" applyNumberFormat="1" applyFont="1" applyBorder="1"/>
    <xf numFmtId="170" fontId="0" fillId="0" borderId="0" xfId="2" applyNumberFormat="1" applyFont="1"/>
    <xf numFmtId="0" fontId="7" fillId="0" borderId="11" xfId="0" applyFont="1" applyBorder="1" applyAlignment="1">
      <alignment horizontal="center"/>
    </xf>
    <xf numFmtId="0" fontId="6" fillId="0" borderId="0" xfId="44" applyFont="1" applyAlignment="1">
      <alignment horizontal="left"/>
    </xf>
    <xf numFmtId="0" fontId="6" fillId="0" borderId="0" xfId="44" applyNumberFormat="1" applyFont="1"/>
    <xf numFmtId="0" fontId="0" fillId="5" borderId="0" xfId="0" applyFill="1"/>
    <xf numFmtId="170" fontId="0" fillId="8" borderId="0" xfId="0" applyNumberFormat="1" applyFill="1"/>
    <xf numFmtId="171" fontId="0" fillId="0" borderId="0" xfId="2" applyNumberFormat="1" applyFont="1"/>
    <xf numFmtId="0" fontId="7" fillId="0" borderId="1" xfId="0" applyFont="1" applyBorder="1" applyAlignment="1">
      <alignment horizontal="center" wrapText="1"/>
    </xf>
    <xf numFmtId="0" fontId="6" fillId="0" borderId="0" xfId="0" applyFont="1" applyAlignment="1">
      <alignment horizontal="left"/>
    </xf>
    <xf numFmtId="43" fontId="0" fillId="0" borderId="0" xfId="0" applyNumberFormat="1"/>
    <xf numFmtId="164" fontId="31" fillId="0" borderId="0" xfId="1" applyNumberFormat="1" applyFont="1" applyAlignment="1">
      <alignment horizontal="center" wrapText="1"/>
    </xf>
    <xf numFmtId="164" fontId="0" fillId="0" borderId="0" xfId="1" applyNumberFormat="1" applyFont="1" applyAlignment="1">
      <alignment horizontal="left"/>
    </xf>
    <xf numFmtId="0" fontId="6" fillId="2" borderId="0" xfId="0" applyFont="1" applyFill="1"/>
    <xf numFmtId="0" fontId="0" fillId="0" borderId="0" xfId="0" pivotButton="1" applyAlignment="1">
      <alignment wrapText="1"/>
    </xf>
    <xf numFmtId="0" fontId="6" fillId="0" borderId="0" xfId="0" applyFont="1" applyBorder="1"/>
    <xf numFmtId="43" fontId="0" fillId="0" borderId="0" xfId="0" applyNumberFormat="1" applyBorder="1"/>
    <xf numFmtId="43" fontId="0" fillId="0" borderId="0" xfId="1" applyFont="1" applyBorder="1"/>
    <xf numFmtId="1" fontId="0" fillId="0" borderId="0" xfId="0" applyNumberFormat="1" applyBorder="1"/>
    <xf numFmtId="1" fontId="0" fillId="0" borderId="0" xfId="1" applyNumberFormat="1" applyFont="1" applyBorder="1"/>
    <xf numFmtId="170" fontId="0" fillId="0" borderId="0" xfId="0" applyNumberFormat="1"/>
    <xf numFmtId="172" fontId="0" fillId="0" borderId="0" xfId="1" applyNumberFormat="1" applyFont="1"/>
    <xf numFmtId="164" fontId="0" fillId="5" borderId="0" xfId="1" applyNumberFormat="1" applyFont="1" applyFill="1"/>
    <xf numFmtId="164" fontId="0" fillId="5" borderId="11" xfId="1" applyNumberFormat="1" applyFont="1" applyFill="1" applyBorder="1"/>
    <xf numFmtId="0" fontId="6" fillId="0" borderId="0" xfId="44"/>
    <xf numFmtId="0" fontId="6" fillId="0" borderId="0" xfId="44" applyFont="1" applyAlignment="1">
      <alignment horizontal="center" wrapText="1"/>
    </xf>
    <xf numFmtId="165" fontId="6" fillId="0" borderId="0" xfId="44" applyNumberFormat="1" applyFont="1" applyAlignment="1">
      <alignment horizontal="center" wrapText="1"/>
    </xf>
    <xf numFmtId="164" fontId="6" fillId="0" borderId="0" xfId="44" applyNumberFormat="1"/>
    <xf numFmtId="164" fontId="6" fillId="0" borderId="0" xfId="44" applyNumberFormat="1" applyFill="1"/>
    <xf numFmtId="165" fontId="6" fillId="0" borderId="0" xfId="44" applyNumberFormat="1"/>
    <xf numFmtId="0" fontId="28" fillId="0" borderId="0" xfId="44" applyFont="1"/>
    <xf numFmtId="0" fontId="28" fillId="0" borderId="0" xfId="44" applyFont="1" applyAlignment="1">
      <alignment horizontal="center" wrapText="1"/>
    </xf>
    <xf numFmtId="165" fontId="28" fillId="0" borderId="0" xfId="44" applyNumberFormat="1" applyFont="1" applyAlignment="1">
      <alignment horizontal="center" wrapText="1"/>
    </xf>
    <xf numFmtId="0" fontId="1" fillId="0" borderId="0" xfId="176" applyFont="1"/>
    <xf numFmtId="0" fontId="29" fillId="0" borderId="0" xfId="44" applyNumberFormat="1" applyFont="1" applyBorder="1"/>
    <xf numFmtId="0" fontId="6" fillId="40" borderId="0" xfId="44" applyFill="1"/>
    <xf numFmtId="0" fontId="6" fillId="0" borderId="0" xfId="44" applyFont="1" applyFill="1" applyAlignment="1">
      <alignment horizontal="left"/>
    </xf>
    <xf numFmtId="0" fontId="6" fillId="5" borderId="0" xfId="44" applyFont="1" applyFill="1" applyAlignment="1">
      <alignment horizontal="left"/>
    </xf>
    <xf numFmtId="0" fontId="6" fillId="0" borderId="0" xfId="44" applyFont="1"/>
    <xf numFmtId="165" fontId="1" fillId="0" borderId="0" xfId="176" applyNumberFormat="1" applyFont="1"/>
    <xf numFmtId="0" fontId="29" fillId="0" borderId="0" xfId="44" applyNumberFormat="1" applyFont="1" applyFill="1" applyBorder="1"/>
    <xf numFmtId="0" fontId="6" fillId="0" borderId="0" xfId="44" applyFill="1"/>
    <xf numFmtId="9" fontId="0" fillId="0" borderId="0" xfId="2" applyFont="1" applyFill="1"/>
    <xf numFmtId="164" fontId="0" fillId="0" borderId="0" xfId="1" applyNumberFormat="1" applyFont="1" applyBorder="1"/>
    <xf numFmtId="0" fontId="6" fillId="0" borderId="0" xfId="0" applyFont="1" applyAlignment="1">
      <alignment horizontal="right"/>
    </xf>
    <xf numFmtId="43" fontId="0" fillId="0" borderId="0" xfId="1" applyNumberFormat="1" applyFont="1"/>
    <xf numFmtId="43" fontId="0" fillId="0" borderId="0" xfId="1" applyFont="1"/>
    <xf numFmtId="0" fontId="6" fillId="5" borderId="0" xfId="44" applyFill="1"/>
    <xf numFmtId="164" fontId="6" fillId="5" borderId="0" xfId="44" applyNumberFormat="1" applyFill="1"/>
    <xf numFmtId="0" fontId="7" fillId="3" borderId="0" xfId="0" applyNumberFormat="1" applyFont="1" applyFill="1"/>
    <xf numFmtId="0" fontId="0" fillId="3" borderId="0" xfId="0" applyNumberFormat="1" applyFill="1"/>
    <xf numFmtId="0" fontId="0" fillId="0" borderId="0" xfId="0" applyNumberFormat="1"/>
    <xf numFmtId="0" fontId="6" fillId="0" borderId="0" xfId="0" applyFont="1" applyFill="1" applyAlignment="1">
      <alignment vertical="top"/>
    </xf>
    <xf numFmtId="14" fontId="0" fillId="0" borderId="0" xfId="0" applyNumberFormat="1"/>
    <xf numFmtId="0" fontId="0" fillId="5" borderId="0" xfId="0" applyNumberFormat="1" applyFill="1"/>
    <xf numFmtId="164" fontId="7" fillId="40" borderId="15" xfId="1" applyNumberFormat="1" applyFont="1" applyFill="1" applyBorder="1" applyAlignment="1">
      <alignment horizontal="center" wrapText="1"/>
    </xf>
    <xf numFmtId="164" fontId="6" fillId="0" borderId="0" xfId="0" applyNumberFormat="1" applyFont="1" applyBorder="1"/>
    <xf numFmtId="165" fontId="0" fillId="5" borderId="0" xfId="2" applyNumberFormat="1" applyFont="1" applyFill="1"/>
    <xf numFmtId="17" fontId="6" fillId="0" borderId="0" xfId="0" applyNumberFormat="1" applyFont="1"/>
    <xf numFmtId="0" fontId="6" fillId="0" borderId="0" xfId="0" applyFont="1" applyAlignment="1">
      <alignment wrapText="1"/>
    </xf>
    <xf numFmtId="164" fontId="6" fillId="0" borderId="0" xfId="1" applyNumberFormat="1"/>
    <xf numFmtId="164" fontId="0" fillId="0" borderId="0" xfId="1" applyNumberFormat="1" applyFont="1" applyFill="1" applyAlignment="1">
      <alignment horizontal="left"/>
    </xf>
    <xf numFmtId="164" fontId="6" fillId="5" borderId="0" xfId="1" applyNumberFormat="1" applyFont="1" applyFill="1"/>
    <xf numFmtId="0" fontId="8" fillId="5" borderId="0" xfId="0" applyFont="1" applyFill="1" applyAlignment="1">
      <alignment vertical="top"/>
    </xf>
    <xf numFmtId="170" fontId="0" fillId="5" borderId="0" xfId="2" applyNumberFormat="1" applyFont="1" applyFill="1"/>
    <xf numFmtId="170" fontId="0" fillId="5" borderId="0" xfId="0" applyNumberFormat="1" applyFill="1"/>
    <xf numFmtId="0" fontId="32" fillId="0" borderId="11" xfId="0" applyFont="1" applyBorder="1" applyAlignment="1">
      <alignment horizontal="center"/>
    </xf>
    <xf numFmtId="0" fontId="30" fillId="0" borderId="0" xfId="0" applyFont="1" applyAlignment="1">
      <alignment horizontal="center"/>
    </xf>
    <xf numFmtId="164" fontId="7" fillId="6" borderId="11" xfId="1" applyNumberFormat="1" applyFont="1" applyFill="1" applyBorder="1" applyAlignment="1">
      <alignment horizontal="center"/>
    </xf>
    <xf numFmtId="164" fontId="7" fillId="3" borderId="11" xfId="1" applyNumberFormat="1" applyFont="1" applyFill="1" applyBorder="1" applyAlignment="1">
      <alignment horizontal="center"/>
    </xf>
    <xf numFmtId="0" fontId="30" fillId="0" borderId="11" xfId="0" applyFont="1" applyBorder="1" applyAlignment="1">
      <alignment horizontal="center"/>
    </xf>
    <xf numFmtId="0" fontId="6" fillId="0" borderId="0" xfId="0" applyFont="1" applyAlignment="1">
      <alignment vertical="top"/>
    </xf>
    <xf numFmtId="0" fontId="0" fillId="0" borderId="0" xfId="0" applyAlignment="1">
      <alignment vertical="top"/>
    </xf>
    <xf numFmtId="0" fontId="6" fillId="0" borderId="0" xfId="0" applyFont="1" applyAlignment="1">
      <alignment horizontal="center"/>
    </xf>
    <xf numFmtId="0" fontId="0" fillId="0" borderId="0" xfId="0" applyAlignment="1">
      <alignment horizontal="center"/>
    </xf>
  </cellXfs>
  <cellStyles count="177">
    <cellStyle name="20% - Accent1" xfId="21" builtinId="30" customBuiltin="1"/>
    <cellStyle name="20% - Accent1 2" xfId="46" xr:uid="{00000000-0005-0000-0000-000001000000}"/>
    <cellStyle name="20% - Accent1 2 2" xfId="72" xr:uid="{00000000-0005-0000-0000-000002000000}"/>
    <cellStyle name="20% - Accent1 2 2 2" xfId="123" xr:uid="{00000000-0005-0000-0000-000003000000}"/>
    <cellStyle name="20% - Accent1 2 3" xfId="97" xr:uid="{00000000-0005-0000-0000-000004000000}"/>
    <cellStyle name="20% - Accent1 3" xfId="59" xr:uid="{00000000-0005-0000-0000-000005000000}"/>
    <cellStyle name="20% - Accent1 3 2" xfId="110" xr:uid="{00000000-0005-0000-0000-000006000000}"/>
    <cellStyle name="20% - Accent1 4" xfId="84" xr:uid="{00000000-0005-0000-0000-000007000000}"/>
    <cellStyle name="20% - Accent1 5" xfId="153" xr:uid="{00000000-0005-0000-0000-000008000000}"/>
    <cellStyle name="20% - Accent2" xfId="25" builtinId="34" customBuiltin="1"/>
    <cellStyle name="20% - Accent2 2" xfId="48" xr:uid="{00000000-0005-0000-0000-00000A000000}"/>
    <cellStyle name="20% - Accent2 2 2" xfId="74" xr:uid="{00000000-0005-0000-0000-00000B000000}"/>
    <cellStyle name="20% - Accent2 2 2 2" xfId="125" xr:uid="{00000000-0005-0000-0000-00000C000000}"/>
    <cellStyle name="20% - Accent2 2 3" xfId="99" xr:uid="{00000000-0005-0000-0000-00000D000000}"/>
    <cellStyle name="20% - Accent2 3" xfId="61" xr:uid="{00000000-0005-0000-0000-00000E000000}"/>
    <cellStyle name="20% - Accent2 3 2" xfId="112" xr:uid="{00000000-0005-0000-0000-00000F000000}"/>
    <cellStyle name="20% - Accent2 4" xfId="86" xr:uid="{00000000-0005-0000-0000-000010000000}"/>
    <cellStyle name="20% - Accent2 5" xfId="157" xr:uid="{00000000-0005-0000-0000-000011000000}"/>
    <cellStyle name="20% - Accent3" xfId="29" builtinId="38" customBuiltin="1"/>
    <cellStyle name="20% - Accent3 2" xfId="50" xr:uid="{00000000-0005-0000-0000-000013000000}"/>
    <cellStyle name="20% - Accent3 2 2" xfId="76" xr:uid="{00000000-0005-0000-0000-000014000000}"/>
    <cellStyle name="20% - Accent3 2 2 2" xfId="127" xr:uid="{00000000-0005-0000-0000-000015000000}"/>
    <cellStyle name="20% - Accent3 2 3" xfId="101" xr:uid="{00000000-0005-0000-0000-000016000000}"/>
    <cellStyle name="20% - Accent3 3" xfId="63" xr:uid="{00000000-0005-0000-0000-000017000000}"/>
    <cellStyle name="20% - Accent3 3 2" xfId="114" xr:uid="{00000000-0005-0000-0000-000018000000}"/>
    <cellStyle name="20% - Accent3 4" xfId="88" xr:uid="{00000000-0005-0000-0000-000019000000}"/>
    <cellStyle name="20% - Accent3 5" xfId="161" xr:uid="{00000000-0005-0000-0000-00001A000000}"/>
    <cellStyle name="20% - Accent4" xfId="33" builtinId="42" customBuiltin="1"/>
    <cellStyle name="20% - Accent4 2" xfId="52" xr:uid="{00000000-0005-0000-0000-00001C000000}"/>
    <cellStyle name="20% - Accent4 2 2" xfId="78" xr:uid="{00000000-0005-0000-0000-00001D000000}"/>
    <cellStyle name="20% - Accent4 2 2 2" xfId="129" xr:uid="{00000000-0005-0000-0000-00001E000000}"/>
    <cellStyle name="20% - Accent4 2 3" xfId="103" xr:uid="{00000000-0005-0000-0000-00001F000000}"/>
    <cellStyle name="20% - Accent4 3" xfId="65" xr:uid="{00000000-0005-0000-0000-000020000000}"/>
    <cellStyle name="20% - Accent4 3 2" xfId="116" xr:uid="{00000000-0005-0000-0000-000021000000}"/>
    <cellStyle name="20% - Accent4 4" xfId="90" xr:uid="{00000000-0005-0000-0000-000022000000}"/>
    <cellStyle name="20% - Accent4 5" xfId="165" xr:uid="{00000000-0005-0000-0000-000023000000}"/>
    <cellStyle name="20% - Accent5" xfId="37" builtinId="46" customBuiltin="1"/>
    <cellStyle name="20% - Accent5 2" xfId="54" xr:uid="{00000000-0005-0000-0000-000025000000}"/>
    <cellStyle name="20% - Accent5 2 2" xfId="80" xr:uid="{00000000-0005-0000-0000-000026000000}"/>
    <cellStyle name="20% - Accent5 2 2 2" xfId="131" xr:uid="{00000000-0005-0000-0000-000027000000}"/>
    <cellStyle name="20% - Accent5 2 3" xfId="105" xr:uid="{00000000-0005-0000-0000-000028000000}"/>
    <cellStyle name="20% - Accent5 3" xfId="67" xr:uid="{00000000-0005-0000-0000-000029000000}"/>
    <cellStyle name="20% - Accent5 3 2" xfId="118" xr:uid="{00000000-0005-0000-0000-00002A000000}"/>
    <cellStyle name="20% - Accent5 4" xfId="92" xr:uid="{00000000-0005-0000-0000-00002B000000}"/>
    <cellStyle name="20% - Accent5 5" xfId="169" xr:uid="{00000000-0005-0000-0000-00002C000000}"/>
    <cellStyle name="20% - Accent6" xfId="41" builtinId="50" customBuiltin="1"/>
    <cellStyle name="20% - Accent6 2" xfId="56" xr:uid="{00000000-0005-0000-0000-00002E000000}"/>
    <cellStyle name="20% - Accent6 2 2" xfId="82" xr:uid="{00000000-0005-0000-0000-00002F000000}"/>
    <cellStyle name="20% - Accent6 2 2 2" xfId="133" xr:uid="{00000000-0005-0000-0000-000030000000}"/>
    <cellStyle name="20% - Accent6 2 3" xfId="107" xr:uid="{00000000-0005-0000-0000-000031000000}"/>
    <cellStyle name="20% - Accent6 3" xfId="69" xr:uid="{00000000-0005-0000-0000-000032000000}"/>
    <cellStyle name="20% - Accent6 3 2" xfId="120" xr:uid="{00000000-0005-0000-0000-000033000000}"/>
    <cellStyle name="20% - Accent6 4" xfId="94" xr:uid="{00000000-0005-0000-0000-000034000000}"/>
    <cellStyle name="20% - Accent6 5" xfId="173" xr:uid="{00000000-0005-0000-0000-000035000000}"/>
    <cellStyle name="40% - Accent1" xfId="22" builtinId="31" customBuiltin="1"/>
    <cellStyle name="40% - Accent1 2" xfId="47" xr:uid="{00000000-0005-0000-0000-000037000000}"/>
    <cellStyle name="40% - Accent1 2 2" xfId="73" xr:uid="{00000000-0005-0000-0000-000038000000}"/>
    <cellStyle name="40% - Accent1 2 2 2" xfId="124" xr:uid="{00000000-0005-0000-0000-000039000000}"/>
    <cellStyle name="40% - Accent1 2 3" xfId="98" xr:uid="{00000000-0005-0000-0000-00003A000000}"/>
    <cellStyle name="40% - Accent1 3" xfId="60" xr:uid="{00000000-0005-0000-0000-00003B000000}"/>
    <cellStyle name="40% - Accent1 3 2" xfId="111" xr:uid="{00000000-0005-0000-0000-00003C000000}"/>
    <cellStyle name="40% - Accent1 4" xfId="85" xr:uid="{00000000-0005-0000-0000-00003D000000}"/>
    <cellStyle name="40% - Accent1 5" xfId="154" xr:uid="{00000000-0005-0000-0000-00003E000000}"/>
    <cellStyle name="40% - Accent2" xfId="26" builtinId="35" customBuiltin="1"/>
    <cellStyle name="40% - Accent2 2" xfId="49" xr:uid="{00000000-0005-0000-0000-000040000000}"/>
    <cellStyle name="40% - Accent2 2 2" xfId="75" xr:uid="{00000000-0005-0000-0000-000041000000}"/>
    <cellStyle name="40% - Accent2 2 2 2" xfId="126" xr:uid="{00000000-0005-0000-0000-000042000000}"/>
    <cellStyle name="40% - Accent2 2 3" xfId="100" xr:uid="{00000000-0005-0000-0000-000043000000}"/>
    <cellStyle name="40% - Accent2 3" xfId="62" xr:uid="{00000000-0005-0000-0000-000044000000}"/>
    <cellStyle name="40% - Accent2 3 2" xfId="113" xr:uid="{00000000-0005-0000-0000-000045000000}"/>
    <cellStyle name="40% - Accent2 4" xfId="87" xr:uid="{00000000-0005-0000-0000-000046000000}"/>
    <cellStyle name="40% - Accent2 5" xfId="158" xr:uid="{00000000-0005-0000-0000-000047000000}"/>
    <cellStyle name="40% - Accent3" xfId="30" builtinId="39" customBuiltin="1"/>
    <cellStyle name="40% - Accent3 2" xfId="51" xr:uid="{00000000-0005-0000-0000-000049000000}"/>
    <cellStyle name="40% - Accent3 2 2" xfId="77" xr:uid="{00000000-0005-0000-0000-00004A000000}"/>
    <cellStyle name="40% - Accent3 2 2 2" xfId="128" xr:uid="{00000000-0005-0000-0000-00004B000000}"/>
    <cellStyle name="40% - Accent3 2 3" xfId="102" xr:uid="{00000000-0005-0000-0000-00004C000000}"/>
    <cellStyle name="40% - Accent3 3" xfId="64" xr:uid="{00000000-0005-0000-0000-00004D000000}"/>
    <cellStyle name="40% - Accent3 3 2" xfId="115" xr:uid="{00000000-0005-0000-0000-00004E000000}"/>
    <cellStyle name="40% - Accent3 4" xfId="89" xr:uid="{00000000-0005-0000-0000-00004F000000}"/>
    <cellStyle name="40% - Accent3 5" xfId="162" xr:uid="{00000000-0005-0000-0000-000050000000}"/>
    <cellStyle name="40% - Accent4" xfId="34" builtinId="43" customBuiltin="1"/>
    <cellStyle name="40% - Accent4 2" xfId="53" xr:uid="{00000000-0005-0000-0000-000052000000}"/>
    <cellStyle name="40% - Accent4 2 2" xfId="79" xr:uid="{00000000-0005-0000-0000-000053000000}"/>
    <cellStyle name="40% - Accent4 2 2 2" xfId="130" xr:uid="{00000000-0005-0000-0000-000054000000}"/>
    <cellStyle name="40% - Accent4 2 3" xfId="104" xr:uid="{00000000-0005-0000-0000-000055000000}"/>
    <cellStyle name="40% - Accent4 3" xfId="66" xr:uid="{00000000-0005-0000-0000-000056000000}"/>
    <cellStyle name="40% - Accent4 3 2" xfId="117" xr:uid="{00000000-0005-0000-0000-000057000000}"/>
    <cellStyle name="40% - Accent4 4" xfId="91" xr:uid="{00000000-0005-0000-0000-000058000000}"/>
    <cellStyle name="40% - Accent4 5" xfId="166" xr:uid="{00000000-0005-0000-0000-000059000000}"/>
    <cellStyle name="40% - Accent5" xfId="38" builtinId="47" customBuiltin="1"/>
    <cellStyle name="40% - Accent5 2" xfId="55" xr:uid="{00000000-0005-0000-0000-00005B000000}"/>
    <cellStyle name="40% - Accent5 2 2" xfId="81" xr:uid="{00000000-0005-0000-0000-00005C000000}"/>
    <cellStyle name="40% - Accent5 2 2 2" xfId="132" xr:uid="{00000000-0005-0000-0000-00005D000000}"/>
    <cellStyle name="40% - Accent5 2 3" xfId="106" xr:uid="{00000000-0005-0000-0000-00005E000000}"/>
    <cellStyle name="40% - Accent5 3" xfId="68" xr:uid="{00000000-0005-0000-0000-00005F000000}"/>
    <cellStyle name="40% - Accent5 3 2" xfId="119" xr:uid="{00000000-0005-0000-0000-000060000000}"/>
    <cellStyle name="40% - Accent5 4" xfId="93" xr:uid="{00000000-0005-0000-0000-000061000000}"/>
    <cellStyle name="40% - Accent5 5" xfId="170" xr:uid="{00000000-0005-0000-0000-000062000000}"/>
    <cellStyle name="40% - Accent6" xfId="42" builtinId="51" customBuiltin="1"/>
    <cellStyle name="40% - Accent6 2" xfId="57" xr:uid="{00000000-0005-0000-0000-000064000000}"/>
    <cellStyle name="40% - Accent6 2 2" xfId="83" xr:uid="{00000000-0005-0000-0000-000065000000}"/>
    <cellStyle name="40% - Accent6 2 2 2" xfId="134" xr:uid="{00000000-0005-0000-0000-000066000000}"/>
    <cellStyle name="40% - Accent6 2 3" xfId="108" xr:uid="{00000000-0005-0000-0000-000067000000}"/>
    <cellStyle name="40% - Accent6 3" xfId="70" xr:uid="{00000000-0005-0000-0000-000068000000}"/>
    <cellStyle name="40% - Accent6 3 2" xfId="121" xr:uid="{00000000-0005-0000-0000-000069000000}"/>
    <cellStyle name="40% - Accent6 4" xfId="95" xr:uid="{00000000-0005-0000-0000-00006A000000}"/>
    <cellStyle name="40% - Accent6 5" xfId="174" xr:uid="{00000000-0005-0000-0000-00006B000000}"/>
    <cellStyle name="60% - Accent1" xfId="23" builtinId="32" customBuiltin="1"/>
    <cellStyle name="60% - Accent1 2" xfId="155" xr:uid="{00000000-0005-0000-0000-00006D000000}"/>
    <cellStyle name="60% - Accent2" xfId="27" builtinId="36" customBuiltin="1"/>
    <cellStyle name="60% - Accent2 2" xfId="159" xr:uid="{00000000-0005-0000-0000-00006F000000}"/>
    <cellStyle name="60% - Accent3" xfId="31" builtinId="40" customBuiltin="1"/>
    <cellStyle name="60% - Accent3 2" xfId="163" xr:uid="{00000000-0005-0000-0000-000071000000}"/>
    <cellStyle name="60% - Accent4" xfId="35" builtinId="44" customBuiltin="1"/>
    <cellStyle name="60% - Accent4 2" xfId="167" xr:uid="{00000000-0005-0000-0000-000073000000}"/>
    <cellStyle name="60% - Accent5" xfId="39" builtinId="48" customBuiltin="1"/>
    <cellStyle name="60% - Accent5 2" xfId="171" xr:uid="{00000000-0005-0000-0000-000075000000}"/>
    <cellStyle name="60% - Accent6" xfId="43" builtinId="52" customBuiltin="1"/>
    <cellStyle name="60% - Accent6 2" xfId="175" xr:uid="{00000000-0005-0000-0000-000077000000}"/>
    <cellStyle name="Accent1" xfId="20" builtinId="29" customBuiltin="1"/>
    <cellStyle name="Accent1 2" xfId="152" xr:uid="{00000000-0005-0000-0000-000079000000}"/>
    <cellStyle name="Accent2" xfId="24" builtinId="33" customBuiltin="1"/>
    <cellStyle name="Accent2 2" xfId="156" xr:uid="{00000000-0005-0000-0000-00007B000000}"/>
    <cellStyle name="Accent3" xfId="28" builtinId="37" customBuiltin="1"/>
    <cellStyle name="Accent3 2" xfId="160" xr:uid="{00000000-0005-0000-0000-00007D000000}"/>
    <cellStyle name="Accent4" xfId="32" builtinId="41" customBuiltin="1"/>
    <cellStyle name="Accent4 2" xfId="164" xr:uid="{00000000-0005-0000-0000-00007F000000}"/>
    <cellStyle name="Accent5" xfId="36" builtinId="45" customBuiltin="1"/>
    <cellStyle name="Accent5 2" xfId="168" xr:uid="{00000000-0005-0000-0000-000081000000}"/>
    <cellStyle name="Accent6" xfId="40" builtinId="49" customBuiltin="1"/>
    <cellStyle name="Accent6 2" xfId="172" xr:uid="{00000000-0005-0000-0000-000083000000}"/>
    <cellStyle name="Bad" xfId="10" builtinId="27" customBuiltin="1"/>
    <cellStyle name="Bad 2" xfId="141" xr:uid="{00000000-0005-0000-0000-000085000000}"/>
    <cellStyle name="Calculation" xfId="14" builtinId="22" customBuiltin="1"/>
    <cellStyle name="Calculation 2" xfId="145" xr:uid="{00000000-0005-0000-0000-000087000000}"/>
    <cellStyle name="Check Cell" xfId="16" builtinId="23" customBuiltin="1"/>
    <cellStyle name="Check Cell 2" xfId="147" xr:uid="{00000000-0005-0000-0000-000089000000}"/>
    <cellStyle name="Comma" xfId="1" builtinId="3"/>
    <cellStyle name="Explanatory Text" xfId="18" builtinId="53" customBuiltin="1"/>
    <cellStyle name="Explanatory Text 2" xfId="150" xr:uid="{00000000-0005-0000-0000-00008C000000}"/>
    <cellStyle name="Good" xfId="9" builtinId="26" customBuiltin="1"/>
    <cellStyle name="Good 2" xfId="140" xr:uid="{00000000-0005-0000-0000-00008E000000}"/>
    <cellStyle name="Heading 1" xfId="5" builtinId="16" customBuiltin="1"/>
    <cellStyle name="Heading 1 2" xfId="136" xr:uid="{00000000-0005-0000-0000-000090000000}"/>
    <cellStyle name="Heading 2" xfId="6" builtinId="17" customBuiltin="1"/>
    <cellStyle name="Heading 2 2" xfId="137" xr:uid="{00000000-0005-0000-0000-000092000000}"/>
    <cellStyle name="Heading 3" xfId="7" builtinId="18" customBuiltin="1"/>
    <cellStyle name="Heading 3 2" xfId="138" xr:uid="{00000000-0005-0000-0000-000094000000}"/>
    <cellStyle name="Heading 4" xfId="8" builtinId="19" customBuiltin="1"/>
    <cellStyle name="Heading 4 2" xfId="139" xr:uid="{00000000-0005-0000-0000-000096000000}"/>
    <cellStyle name="Input" xfId="12" builtinId="20" customBuiltin="1"/>
    <cellStyle name="Input 2" xfId="143" xr:uid="{00000000-0005-0000-0000-000098000000}"/>
    <cellStyle name="Linked Cell" xfId="15" builtinId="24" customBuiltin="1"/>
    <cellStyle name="Linked Cell 2" xfId="146" xr:uid="{00000000-0005-0000-0000-00009A000000}"/>
    <cellStyle name="Neutral" xfId="11" builtinId="28" customBuiltin="1"/>
    <cellStyle name="Neutral 2" xfId="142" xr:uid="{00000000-0005-0000-0000-00009C000000}"/>
    <cellStyle name="Normal" xfId="0" builtinId="0"/>
    <cellStyle name="Normal 2" xfId="3" xr:uid="{00000000-0005-0000-0000-00009E000000}"/>
    <cellStyle name="Normal 2 2" xfId="176" xr:uid="{00000000-0005-0000-0000-00009F000000}"/>
    <cellStyle name="Normal 3" xfId="44" xr:uid="{00000000-0005-0000-0000-0000A0000000}"/>
    <cellStyle name="Note 2" xfId="45" xr:uid="{00000000-0005-0000-0000-0000A1000000}"/>
    <cellStyle name="Note 2 2" xfId="71" xr:uid="{00000000-0005-0000-0000-0000A2000000}"/>
    <cellStyle name="Note 2 2 2" xfId="122" xr:uid="{00000000-0005-0000-0000-0000A3000000}"/>
    <cellStyle name="Note 2 3" xfId="96" xr:uid="{00000000-0005-0000-0000-0000A4000000}"/>
    <cellStyle name="Note 3" xfId="58" xr:uid="{00000000-0005-0000-0000-0000A5000000}"/>
    <cellStyle name="Note 3 2" xfId="109" xr:uid="{00000000-0005-0000-0000-0000A6000000}"/>
    <cellStyle name="Note 4" xfId="149" xr:uid="{00000000-0005-0000-0000-0000A7000000}"/>
    <cellStyle name="Output" xfId="13" builtinId="21" customBuiltin="1"/>
    <cellStyle name="Output 2" xfId="144" xr:uid="{00000000-0005-0000-0000-0000A9000000}"/>
    <cellStyle name="Percent" xfId="2" builtinId="5"/>
    <cellStyle name="Title" xfId="4" builtinId="15" customBuiltin="1"/>
    <cellStyle name="Title 2" xfId="135" xr:uid="{00000000-0005-0000-0000-0000AC000000}"/>
    <cellStyle name="Total" xfId="19" builtinId="25" customBuiltin="1"/>
    <cellStyle name="Total 2" xfId="151" xr:uid="{00000000-0005-0000-0000-0000AE000000}"/>
    <cellStyle name="Warning Text" xfId="17" builtinId="11" customBuiltin="1"/>
    <cellStyle name="Warning Text 2" xfId="148" xr:uid="{00000000-0005-0000-0000-0000B0000000}"/>
  </cellStyles>
  <dxfs count="7">
    <dxf>
      <alignment wrapText="1"/>
    </dxf>
    <dxf>
      <alignment wrapText="1"/>
    </dxf>
    <dxf>
      <alignment wrapText="1"/>
    </dxf>
    <dxf>
      <alignment wrapText="1"/>
    </dxf>
    <dxf>
      <numFmt numFmtId="164" formatCode="_(* #,##0_);_(* \(#,##0\);_(* &quot;-&quot;??_);_(@_)"/>
    </dxf>
    <dxf>
      <numFmt numFmtId="164" formatCode="_(* #,##0_);_(* \(#,##0\);_(* &quot;-&quot;??_);_(@_)"/>
    </dxf>
    <dxf>
      <numFmt numFmtId="164" formatCode="_(* #,##0_);_(* \(#,##0\);_(*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en, Jessica" refreshedDate="43446.532860300926" createdVersion="3" refreshedVersion="6" minRefreshableVersion="3" recordCount="110" xr:uid="{00000000-000A-0000-FFFF-FFFF0C000000}">
  <cacheSource type="worksheet">
    <worksheetSource ref="A1:W1048576" sheet="Model"/>
  </cacheSource>
  <cacheFields count="24">
    <cacheField name="Allocated Fund" numFmtId="0">
      <sharedItems containsBlank="1"/>
    </cacheField>
    <cacheField name="Billed Fund" numFmtId="0">
      <sharedItems containsBlank="1" containsMixedTypes="1" containsNumber="1" containsInteger="1" minValue="200" maxValue="800"/>
    </cacheField>
    <cacheField name="Fund" numFmtId="0">
      <sharedItems containsBlank="1" count="42">
        <s v="100 - General Fund"/>
        <e v="#N/A"/>
        <s v="PDC - Portland Development Commission"/>
        <s v="200 - Transportation Operating Fund"/>
        <s v="202 - Emergency Communication Fund"/>
        <s v="203 - Development Services Fund"/>
        <s v="204 - Property Management License Fund"/>
        <s v="206 - MHCRC Agency Fund"/>
        <s v="209 - Convention and Tourism Fund"/>
        <s v="213 - Housing Investment Fund"/>
        <s v="215 - Parks Local Option Levy Fund"/>
        <s v="216 - Children's Investment Fund"/>
        <s v="600 - Sewer System Operating Fund"/>
        <s v="602 - Water Fund"/>
        <s v="221 - Tax Increment Financing Reimbursement Fund"/>
        <s v="223 - Arts Education &amp; Access Fund"/>
        <s v="224 - Community Solar Fund"/>
        <s v="400 - BFRES Facilities GO Bond Construction Fund"/>
        <s v="401 - Local Improvement District Fund"/>
        <s v="402 - Parks Capital Improvement Program Fund"/>
        <s v="601 - Hydroelectric Power Operating Fund"/>
        <s v="603 - Golf Fund"/>
        <s v="604 - Portland International Raceway Fund"/>
        <s v="605 - Solid Waste Management Fund"/>
        <s v="606 - Parking Facilities Fund"/>
        <s v="607 - Spectator Facilities Operating Fund"/>
        <s v="608 - Environmental Remediation Fund"/>
        <s v="700 - Health Insurance Operating Fund"/>
        <s v="701 - Facilities Services Operating Fund"/>
        <s v="702 - CityFleet Operating Fund"/>
        <s v="703 - Printing &amp; Distribution Services Operating Fund"/>
        <s v="704 - Insurance and Claims Operating Fund"/>
        <s v="705 - Workers' Comp. Self Insurance Operating Fund"/>
        <s v="706 - Technology Services Fund"/>
        <s v="708 - EBS Services Fund"/>
        <s v="800 - Fire &amp; Police Disability &amp; Retirement Fund"/>
        <m/>
        <s v="222 - Police Special Revenue Fund" u="1"/>
        <s v="403 - Public Safety GO Bond Fund" u="1"/>
        <s v="802 - Fire &amp; Police Supplemental Retirement Res Fund" u="1"/>
        <s v="201 - Assessment Collection Fund" u="1"/>
        <s v="206 - Closed - Cable Fund" u="1"/>
      </sharedItems>
    </cacheField>
    <cacheField name="Bureau" numFmtId="0">
      <sharedItems containsBlank="1"/>
    </cacheField>
    <cacheField name="FY 2013-14 Actuals" numFmtId="0">
      <sharedItems containsString="0" containsBlank="1" containsNumber="1" minValue="-4.3772287079385179E-9" maxValue="1"/>
    </cacheField>
    <cacheField name="FY 2014-15 Actuals" numFmtId="0">
      <sharedItems containsString="0" containsBlank="1" containsNumber="1" minValue="0" maxValue="0.99999999999999989"/>
    </cacheField>
    <cacheField name="FY 2015-16 Actuals" numFmtId="0">
      <sharedItems containsString="0" containsBlank="1" containsNumber="1" minValue="-5.2367685748447118E-8" maxValue="0.99999999999999967"/>
    </cacheField>
    <cacheField name="FY 2016-17 Actuals" numFmtId="0">
      <sharedItems containsString="0" containsBlank="1" containsNumber="1" minValue="-5.1955319899227369E-6" maxValue="1"/>
    </cacheField>
    <cacheField name="FY 2017-18 Actuals" numFmtId="0">
      <sharedItems containsString="0" containsBlank="1" containsNumber="1" minValue="-1.5823469139158057E-5" maxValue="0.99999999999999967"/>
    </cacheField>
    <cacheField name="FY 2013-14 Positions" numFmtId="0">
      <sharedItems containsString="0" containsBlank="1" containsNumber="1" minValue="0" maxValue="1.0000000000000002"/>
    </cacheField>
    <cacheField name="FY 2014-15 Positions" numFmtId="0">
      <sharedItems containsString="0" containsBlank="1" containsNumber="1" minValue="0" maxValue="1.0000000000000002"/>
    </cacheField>
    <cacheField name="FY 2015-16 Positions" numFmtId="0">
      <sharedItems containsString="0" containsBlank="1" containsNumber="1" minValue="0" maxValue="1"/>
    </cacheField>
    <cacheField name="FY 2016-17 Positions" numFmtId="0">
      <sharedItems containsString="0" containsBlank="1" containsNumber="1" minValue="0" maxValue="0.99999999999999989"/>
    </cacheField>
    <cacheField name="FY 2017-18 Positions" numFmtId="0">
      <sharedItems containsString="0" containsBlank="1" containsNumber="1" minValue="0" maxValue="0.99999999999999989"/>
    </cacheField>
    <cacheField name="CAL Weighted %" numFmtId="0">
      <sharedItems containsString="0" containsBlank="1" containsNumber="1" minValue="0" maxValue="1.0000000000000002"/>
    </cacheField>
    <cacheField name="True-Up Weighted %" numFmtId="0">
      <sharedItems containsString="0" containsBlank="1" containsNumber="1" minValue="-1.0943071769846295E-9" maxValue="1"/>
    </cacheField>
    <cacheField name="FY 2017-18 CAL Charge" numFmtId="0">
      <sharedItems containsString="0" containsBlank="1" containsNumber="1" minValue="-0.30418691784143448" maxValue="55369235"/>
    </cacheField>
    <cacheField name="FY 2017-18 True-Up" numFmtId="0">
      <sharedItems containsString="0" containsBlank="1" containsNumber="1" minValue="-5514893" maxValue="1.0241869147866964"/>
    </cacheField>
    <cacheField name="FY 2017-18 True-Up Charge" numFmtId="0">
      <sharedItems containsString="0" containsBlank="1" containsNumber="1" minValue="0" maxValue="49854342"/>
    </cacheField>
    <cacheField name="FY 2018-19 CAL Charge" numFmtId="0">
      <sharedItems containsString="0" containsBlank="1" containsNumber="1" minValue="0" maxValue="57992092"/>
    </cacheField>
    <cacheField name="Difference" numFmtId="0">
      <sharedItems containsString="0" containsBlank="1" containsNumber="1" containsInteger="1" minValue="-1019753" maxValue="473610"/>
    </cacheField>
    <cacheField name="FY 2019-20 CAL Charge" numFmtId="0">
      <sharedItems containsString="0" containsBlank="1" containsNumber="1" minValue="-1.9846878200769424" maxValue="56972339"/>
    </cacheField>
    <cacheField name="FY 2019-20 with True-Up" numFmtId="0">
      <sharedItems containsString="0" containsBlank="1" containsNumber="1" minValue="-26493" maxValue="51457446"/>
    </cacheField>
    <cacheField name="Difference 19-20" numFmtId="0" formula="'FY 2019-20 CAL Charge'-'FY 2018-19 CAL Charg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0">
  <r>
    <s v="100-AT"/>
    <s v="100-AT"/>
    <x v="0"/>
    <s v="Office of the City Attorney"/>
    <n v="0"/>
    <n v="0"/>
    <n v="0"/>
    <n v="0"/>
    <n v="0"/>
    <n v="0"/>
    <n v="0"/>
    <n v="0"/>
    <n v="0"/>
    <n v="0"/>
    <n v="0"/>
    <n v="0"/>
    <n v="0"/>
    <n v="0"/>
    <n v="0"/>
    <n v="0"/>
    <n v="0"/>
    <n v="0"/>
    <n v="0"/>
  </r>
  <r>
    <s v="100-AU"/>
    <s v="100-AU"/>
    <x v="0"/>
    <s v="Office of the City Auditor"/>
    <n v="0"/>
    <n v="0"/>
    <n v="0"/>
    <n v="1.6639485264256224E-3"/>
    <n v="1.5930777672070202E-3"/>
    <n v="0"/>
    <n v="0"/>
    <n v="0"/>
    <n v="1.6047135889153451E-3"/>
    <n v="1.7482729976272681E-3"/>
    <n v="1.093672122286712E-3"/>
    <n v="0"/>
    <n v="0"/>
    <n v="0"/>
    <n v="0"/>
    <n v="31747"/>
    <n v="30425"/>
    <n v="62172"/>
    <n v="62172"/>
  </r>
  <r>
    <s v="100-BO"/>
    <s v="100-BO"/>
    <x v="0"/>
    <s v="City Budget Office"/>
    <n v="0"/>
    <n v="0"/>
    <n v="0"/>
    <n v="0"/>
    <n v="0"/>
    <n v="0"/>
    <n v="0"/>
    <n v="0"/>
    <n v="0"/>
    <n v="0"/>
    <n v="0"/>
    <n v="0"/>
    <n v="0"/>
    <n v="0"/>
    <n v="0"/>
    <n v="0"/>
    <n v="0"/>
    <n v="0"/>
    <n v="0"/>
  </r>
  <r>
    <s v="100-CB"/>
    <s v="100-MF"/>
    <x v="0"/>
    <s v="Office of Management &amp; Finance"/>
    <n v="0"/>
    <n v="0"/>
    <n v="0"/>
    <n v="0"/>
    <n v="0"/>
    <n v="0"/>
    <n v="0"/>
    <n v="0"/>
    <n v="0"/>
    <n v="0"/>
    <n v="0"/>
    <n v="0"/>
    <n v="0"/>
    <n v="0"/>
    <n v="0"/>
    <n v="0"/>
    <n v="0"/>
    <n v="0"/>
    <n v="0"/>
  </r>
  <r>
    <s v="100-EM"/>
    <s v="100-EM"/>
    <x v="0"/>
    <s v="Portland Bureau of Emergency Management"/>
    <n v="0"/>
    <n v="0"/>
    <n v="0"/>
    <n v="0"/>
    <n v="0"/>
    <n v="0"/>
    <n v="0"/>
    <n v="0"/>
    <n v="0"/>
    <n v="0"/>
    <n v="0"/>
    <n v="0"/>
    <n v="0"/>
    <n v="0"/>
    <n v="0"/>
    <n v="0"/>
    <n v="0"/>
    <n v="0"/>
    <n v="0"/>
  </r>
  <r>
    <s v="100-FM"/>
    <s v="Excluded"/>
    <x v="1"/>
    <e v="#N/A"/>
    <n v="0"/>
    <n v="0"/>
    <n v="0"/>
    <n v="0"/>
    <n v="0"/>
    <n v="0"/>
    <n v="0"/>
    <n v="0"/>
    <n v="0"/>
    <n v="0"/>
    <n v="0"/>
    <n v="0"/>
    <n v="0"/>
    <n v="0"/>
    <n v="0"/>
    <n v="0"/>
    <n v="0"/>
    <n v="0"/>
    <n v="0"/>
  </r>
  <r>
    <s v="100-FR"/>
    <s v="100-FR"/>
    <x v="0"/>
    <s v="Portland Fire &amp; Rescue"/>
    <n v="9.8472614525233579E-2"/>
    <n v="0.10301412111742106"/>
    <n v="0.10969923739835177"/>
    <n v="0.10210891476784618"/>
    <n v="0.10106577242798186"/>
    <n v="9.4954275514055775E-2"/>
    <n v="0.10007757737722206"/>
    <n v="9.1637973195275335E-2"/>
    <n v="8.4820575414096808E-2"/>
    <n v="7.6615493131312634E-2"/>
    <n v="9.9307984626935367E-2"/>
    <n v="0.10168564543413103"/>
    <n v="5588151"/>
    <n v="-557971"/>
    <n v="5030180"/>
    <n v="5870755"/>
    <n v="-225360"/>
    <n v="5645395"/>
    <n v="5087424"/>
  </r>
  <r>
    <s v="100-GR"/>
    <s v="100-GR"/>
    <x v="0"/>
    <s v="Office of Government Relations"/>
    <n v="0"/>
    <n v="0"/>
    <n v="0"/>
    <n v="0"/>
    <n v="0"/>
    <n v="0"/>
    <n v="0"/>
    <n v="0"/>
    <n v="0"/>
    <n v="0"/>
    <n v="0"/>
    <n v="0"/>
    <n v="0"/>
    <n v="0"/>
    <n v="0"/>
    <n v="0"/>
    <n v="0"/>
    <n v="0"/>
    <n v="0"/>
  </r>
  <r>
    <s v="100-HC"/>
    <s v="100-HC"/>
    <x v="0"/>
    <s v="Portland Housing Bureau"/>
    <n v="1.2400395655266388E-2"/>
    <n v="1.4530222028497016E-2"/>
    <n v="1.8940505873970458E-2"/>
    <n v="2.5031497965745907E-2"/>
    <n v="2.5835401318826945E-2"/>
    <n v="7.7831373372176859E-3"/>
    <n v="8.5583583412245073E-3"/>
    <n v="7.6570813182035994E-3"/>
    <n v="7.5650783477437698E-3"/>
    <n v="6.9930919905090722E-3"/>
    <n v="1.9303122261007197E-2"/>
    <n v="1.3467662305820614E-2"/>
    <n v="739988"/>
    <n v="-73770"/>
    <n v="666218"/>
    <n v="958138"/>
    <n v="139193"/>
    <n v="1097331"/>
    <n v="1023561"/>
  </r>
  <r>
    <s v="100-HN"/>
    <s v="Excluded"/>
    <x v="1"/>
    <e v="#N/A"/>
    <n v="0"/>
    <n v="0"/>
    <n v="0"/>
    <n v="0"/>
    <n v="0"/>
    <n v="0"/>
    <n v="0"/>
    <n v="0"/>
    <n v="0"/>
    <n v="0"/>
    <n v="0"/>
    <n v="0"/>
    <n v="0"/>
    <n v="0"/>
    <n v="0"/>
    <n v="0"/>
    <n v="0"/>
    <n v="0"/>
    <n v="0"/>
  </r>
  <r>
    <s v="100-MF"/>
    <s v="100-MF"/>
    <x v="0"/>
    <s v="Office of Management &amp; Finance"/>
    <n v="1.3882006594172479E-2"/>
    <n v="1.2493454008808434E-2"/>
    <n v="1.0665171982594148E-2"/>
    <n v="9.8086602958805565E-3"/>
    <n v="9.5647780101861205E-3"/>
    <n v="1.1285549138965645E-2"/>
    <n v="1.1043043020934848E-2"/>
    <n v="9.7566036151303919E-3"/>
    <n v="9.0551695374508755E-3"/>
    <n v="8.9470441643277835E-3"/>
    <n v="9.8228873485742933E-3"/>
    <n v="1.1933924460979671E-2"/>
    <n v="655486"/>
    <n v="-65139"/>
    <n v="590347"/>
    <n v="618998"/>
    <n v="-60593"/>
    <n v="558405"/>
    <n v="493266"/>
  </r>
  <r>
    <s v="100-MY"/>
    <s v="100-MY"/>
    <x v="0"/>
    <s v="Office of the Mayor"/>
    <n v="8.6584976195272533E-4"/>
    <n v="4.0732821260335293E-4"/>
    <n v="0"/>
    <n v="0"/>
    <n v="0"/>
    <n v="2.5943791124058955E-4"/>
    <n v="2.7607607552337124E-4"/>
    <n v="2.4700262316785805E-4"/>
    <n v="2.2924479841647787E-4"/>
    <n v="2.0567917619144331E-4"/>
    <n v="5.6827216481314933E-5"/>
    <n v="3.8350421113333782E-4"/>
    <n v="21006"/>
    <n v="-2035"/>
    <n v="18971"/>
    <n v="9483"/>
    <n v="-6253"/>
    <n v="3230"/>
    <n v="1195"/>
  </r>
  <r>
    <s v="100-NI"/>
    <s v="100-NI"/>
    <x v="0"/>
    <s v="Office of Neighborhood Involvement"/>
    <n v="6.4644500304242656E-3"/>
    <n v="7.0276652311841844E-3"/>
    <n v="8.1586759688650669E-3"/>
    <n v="8.2162583559792796E-3"/>
    <n v="8.0501887066413147E-3"/>
    <n v="5.8373530029132651E-3"/>
    <n v="6.9019018880842808E-3"/>
    <n v="7.4100786950357413E-3"/>
    <n v="6.7627215532860968E-3"/>
    <n v="6.1960851827672298E-3"/>
    <n v="7.8036878771288376E-3"/>
    <n v="7.0918089397878203E-3"/>
    <n v="389794"/>
    <n v="-38977"/>
    <n v="350817"/>
    <n v="438940"/>
    <n v="4679"/>
    <n v="443619"/>
    <n v="404642"/>
  </r>
  <r>
    <s v="100-OE"/>
    <s v="100-OE"/>
    <x v="0"/>
    <s v="Office of Equity &amp; Human Rights"/>
    <n v="5.700951406963754E-4"/>
    <n v="4.6281904069926937E-4"/>
    <n v="7.2097525560289053E-4"/>
    <n v="4.9733915208424934E-4"/>
    <n v="4.4345021816863709E-4"/>
    <n v="3.792420422274859E-4"/>
    <n v="5.2178378273917149E-4"/>
    <n v="9.6825028281800354E-4"/>
    <n v="9.6492318889455128E-4"/>
    <n v="7.2571940178949718E-4"/>
    <n v="6.3701556258911527E-4"/>
    <n v="5.9424536823168893E-4"/>
    <n v="32667"/>
    <n v="-3271"/>
    <n v="29396"/>
    <n v="42231"/>
    <n v="-6018"/>
    <n v="36213"/>
    <n v="32942"/>
  </r>
  <r>
    <s v="100-PA"/>
    <s v="100-PA"/>
    <x v="0"/>
    <s v="Commissioner of Public Affairs"/>
    <n v="7.7661338889833671E-4"/>
    <n v="6.9360803951157323E-4"/>
    <n v="7.4311421842990406E-4"/>
    <n v="8.6845697026560352E-4"/>
    <n v="8.079096907950879E-4"/>
    <n v="6.4859477810147383E-4"/>
    <n v="6.9019018880842802E-4"/>
    <n v="6.1750655791964514E-4"/>
    <n v="5.7311199604119468E-4"/>
    <n v="4.1135835238288661E-4"/>
    <n v="7.3836829540129283E-4"/>
    <n v="7.1635820544574901E-4"/>
    <n v="39357"/>
    <n v="-3920"/>
    <n v="35437"/>
    <n v="42296"/>
    <n v="-322"/>
    <n v="41974"/>
    <n v="38054"/>
  </r>
  <r>
    <s v="100-PK"/>
    <s v="100-PK"/>
    <x v="0"/>
    <s v="Portland Parks &amp; Recreation"/>
    <n v="6.0257451830851468E-2"/>
    <n v="6.5598891597657735E-2"/>
    <n v="7.2690040788043572E-2"/>
    <n v="7.0051122700129087E-2"/>
    <n v="6.9790192090614531E-2"/>
    <n v="0.34907370957421324"/>
    <n v="0.29471121062119876"/>
    <n v="0.3476561921087602"/>
    <n v="0.36289451589328448"/>
    <n v="0.40858168350430213"/>
    <n v="0.1463938715202257"/>
    <n v="0.13225668874615254"/>
    <n v="7288009"/>
    <n v="-745543"/>
    <n v="6542466"/>
    <n v="7848492"/>
    <n v="473610"/>
    <n v="8322102"/>
    <n v="7576559"/>
  </r>
  <r>
    <s v="100-PL"/>
    <s v="100-PL"/>
    <x v="0"/>
    <s v="Portland Police Bureau"/>
    <n v="0.15278326629835443"/>
    <n v="0.15910504352885926"/>
    <n v="0.16069191739034649"/>
    <n v="0.15244253047997264"/>
    <n v="0.15377981507064267"/>
    <n v="0.15358724345442901"/>
    <n v="0.16385115082312082"/>
    <n v="0.14968358963972198"/>
    <n v="0.14281950941346572"/>
    <n v="0.12998923935299217"/>
    <n v="0.1519362606024221"/>
    <n v="0.15707188879749603"/>
    <n v="8632119"/>
    <n v="-862096"/>
    <n v="7770023"/>
    <n v="9006249"/>
    <n v="-369077"/>
    <n v="8637172"/>
    <n v="7775076"/>
  </r>
  <r>
    <s v="100-PN"/>
    <s v="100-PN"/>
    <x v="0"/>
    <s v="Bureau of Planning &amp; Sustainability"/>
    <n v="7.1676627654263586E-3"/>
    <n v="6.7121480295604195E-3"/>
    <n v="7.6006249624553154E-3"/>
    <n v="7.0123333154886395E-3"/>
    <n v="7.0665463461824273E-3"/>
    <n v="9.8651265749234163E-3"/>
    <n v="1.0297637617021746E-2"/>
    <n v="9.5392413067426768E-3"/>
    <n v="1.1448485232918904E-2"/>
    <n v="8.2862998108127733E-3"/>
    <n v="7.8593783519044572E-3"/>
    <n v="7.8452760642511773E-3"/>
    <n v="431348"/>
    <n v="-43258"/>
    <n v="388090"/>
    <n v="458183"/>
    <n v="-11398"/>
    <n v="446785"/>
    <n v="403527"/>
  </r>
  <r>
    <s v="100-PS"/>
    <s v="100-PS"/>
    <x v="0"/>
    <s v="Commissioner of Public Safety"/>
    <n v="0"/>
    <n v="0"/>
    <n v="0"/>
    <n v="0"/>
    <n v="0"/>
    <n v="0"/>
    <n v="0"/>
    <n v="0"/>
    <n v="0"/>
    <n v="0"/>
    <n v="0"/>
    <n v="0"/>
    <n v="0"/>
    <n v="0"/>
    <n v="0"/>
    <n v="0"/>
    <n v="0"/>
    <n v="0"/>
    <n v="0"/>
  </r>
  <r>
    <s v="100-PU"/>
    <s v="100-PU"/>
    <x v="0"/>
    <s v="Commissioner of Public Utilities"/>
    <n v="0"/>
    <n v="0"/>
    <n v="0"/>
    <n v="0"/>
    <n v="0"/>
    <n v="0"/>
    <n v="0"/>
    <n v="0"/>
    <n v="0"/>
    <n v="0"/>
    <n v="0"/>
    <n v="0"/>
    <n v="0"/>
    <n v="0"/>
    <n v="0"/>
    <n v="0"/>
    <n v="0"/>
    <n v="0"/>
    <n v="0"/>
  </r>
  <r>
    <s v="100-PW"/>
    <s v="100-PW"/>
    <x v="0"/>
    <s v="Commissioner of Public Works"/>
    <n v="0"/>
    <n v="0"/>
    <n v="0"/>
    <n v="0"/>
    <n v="0"/>
    <n v="0"/>
    <n v="0"/>
    <n v="0"/>
    <n v="0"/>
    <n v="0"/>
    <n v="0"/>
    <n v="0"/>
    <n v="0"/>
    <n v="0"/>
    <n v="0"/>
    <n v="0"/>
    <n v="0"/>
    <n v="0"/>
    <n v="0"/>
  </r>
  <r>
    <s v="100-SA"/>
    <s v="100-SA"/>
    <x v="0"/>
    <s v="Special Appropriations"/>
    <n v="9.4586003119795647E-3"/>
    <n v="9.1777351458614733E-3"/>
    <n v="9.782080511189218E-3"/>
    <n v="9.8024885151313749E-3"/>
    <n v="1.0199932477734116E-2"/>
    <n v="0"/>
    <n v="0"/>
    <n v="0"/>
    <n v="0"/>
    <n v="0"/>
    <n v="7.4461253760136781E-3"/>
    <n v="7.1046039922575653E-3"/>
    <n v="389754"/>
    <n v="-38304"/>
    <n v="351450"/>
    <n v="414586"/>
    <n v="8706"/>
    <n v="423292"/>
    <n v="384988"/>
  </r>
  <r>
    <s v="100-SD"/>
    <s v="100-PN"/>
    <x v="0"/>
    <s v="Bureau of Planning &amp; Sustainability"/>
    <n v="0"/>
    <n v="0"/>
    <n v="0"/>
    <n v="0"/>
    <n v="0"/>
    <n v="0"/>
    <n v="0"/>
    <n v="0"/>
    <n v="0"/>
    <n v="0"/>
    <n v="0"/>
    <n v="0"/>
    <n v="0"/>
    <n v="0"/>
    <n v="0"/>
    <n v="0"/>
    <n v="0"/>
    <n v="0"/>
    <n v="0"/>
  </r>
  <r>
    <s v="100-ZD"/>
    <s v="PDC"/>
    <x v="2"/>
    <e v="#N/A"/>
    <n v="4.9330492092725508E-3"/>
    <n v="5.6517312261481524E-3"/>
    <n v="7.305788607569268E-3"/>
    <n v="5.4655689781861949E-3"/>
    <n v="5.1508822112290497E-3"/>
    <n v="0"/>
    <n v="0"/>
    <n v="0"/>
    <n v="0"/>
    <n v="0"/>
    <n v="4.4805599492461282E-3"/>
    <n v="4.4726422607474928E-3"/>
    <n v="245507"/>
    <n v="-24255"/>
    <n v="221252"/>
    <n v="265561"/>
    <n v="-10853"/>
    <n v="254708"/>
    <n v="230453"/>
  </r>
  <r>
    <s v="200-TR"/>
    <n v="200"/>
    <x v="3"/>
    <e v="#N/A"/>
    <n v="0.13823534861792172"/>
    <n v="0.13306632722366957"/>
    <n v="0.12484624539804103"/>
    <n v="0.12775375258183003"/>
    <n v="0.12173181834728082"/>
    <n v="9.7678373582081965E-2"/>
    <n v="0.10711751730306804"/>
    <n v="0.10164157943357359"/>
    <n v="0.10350402648503976"/>
    <n v="9.7903287867127015E-2"/>
    <n v="0.11883702856393299"/>
    <n v="0.1245734361698017"/>
    <n v="6842755"/>
    <n v="-680363"/>
    <n v="6162392"/>
    <n v="7063711"/>
    <n v="-308142"/>
    <n v="6755569"/>
    <n v="6075206"/>
  </r>
  <r>
    <s v="202-EC"/>
    <n v="202"/>
    <x v="4"/>
    <e v="#N/A"/>
    <n v="1.5816333506504288E-2"/>
    <n v="1.6298084081786141E-2"/>
    <n v="1.6913778507933207E-2"/>
    <n v="1.5744044339521205E-2"/>
    <n v="1.5462387219212817E-2"/>
    <n v="1.8290372742461564E-2"/>
    <n v="1.9739439399921042E-2"/>
    <n v="1.9636708541844714E-2"/>
    <n v="2.0402787059066532E-2"/>
    <n v="1.9231002973899951E-2"/>
    <n v="1.696926073123441E-2"/>
    <n v="1.7062592414408186E-2"/>
    <n v="937936"/>
    <n v="-93885"/>
    <n v="844051"/>
    <n v="993764"/>
    <n v="-29107"/>
    <n v="964657"/>
    <n v="870772"/>
  </r>
  <r>
    <s v="202-MF"/>
    <n v="202"/>
    <x v="4"/>
    <e v="#N/A"/>
    <n v="0"/>
    <n v="0"/>
    <n v="0"/>
    <n v="0"/>
    <n v="0"/>
    <n v="0"/>
    <n v="0"/>
    <n v="0"/>
    <n v="0"/>
    <n v="0"/>
    <n v="0"/>
    <n v="0"/>
    <n v="0"/>
    <n v="0"/>
    <n v="0"/>
    <n v="0"/>
    <n v="0"/>
    <n v="0"/>
    <n v="0"/>
  </r>
  <r>
    <s v="203-DS"/>
    <n v="203"/>
    <x v="5"/>
    <e v="#N/A"/>
    <n v="2.9126869365251089E-2"/>
    <n v="3.1923621062366112E-2"/>
    <n v="3.7919347512293068E-2"/>
    <n v="4.064712243245102E-2"/>
    <n v="4.3521811691916538E-2"/>
    <n v="3.3208052638795463E-2"/>
    <n v="4.3758057970454338E-2"/>
    <n v="4.4707474793382308E-2"/>
    <n v="4.607820448171205E-2"/>
    <n v="4.720337093593624E-2"/>
    <n v="4.202115792675104E-2"/>
    <n v="3.4881924935196908E-2"/>
    <n v="1918006"/>
    <n v="-192469"/>
    <n v="1725537"/>
    <n v="2241339"/>
    <n v="147452"/>
    <n v="2388791"/>
    <n v="2196322"/>
  </r>
  <r>
    <s v="204-MF"/>
    <n v="204"/>
    <x v="6"/>
    <e v="#N/A"/>
    <n v="0"/>
    <n v="0"/>
    <n v="0"/>
    <n v="0"/>
    <n v="0"/>
    <n v="0"/>
    <n v="0"/>
    <n v="0"/>
    <n v="0"/>
    <n v="0"/>
    <n v="0"/>
    <n v="0"/>
    <n v="25000"/>
    <n v="0"/>
    <n v="25000"/>
    <n v="25000"/>
    <n v="0"/>
    <n v="25000"/>
    <n v="25000"/>
  </r>
  <r>
    <s v="206-CB"/>
    <s v="206-MF"/>
    <x v="7"/>
    <s v="Office of Management &amp; Finance"/>
    <n v="0"/>
    <n v="0"/>
    <n v="0"/>
    <n v="0"/>
    <n v="0"/>
    <n v="0"/>
    <n v="0"/>
    <n v="0"/>
    <n v="0"/>
    <n v="0"/>
    <n v="0"/>
    <n v="0"/>
    <n v="25000"/>
    <n v="0"/>
    <n v="25000"/>
    <n v="25000"/>
    <n v="0"/>
    <n v="25000"/>
    <n v="25000"/>
  </r>
  <r>
    <s v="209-MF"/>
    <n v="209"/>
    <x v="8"/>
    <e v="#N/A"/>
    <n v="0"/>
    <n v="0"/>
    <n v="0"/>
    <n v="0"/>
    <n v="0"/>
    <n v="0"/>
    <n v="0"/>
    <n v="0"/>
    <n v="0"/>
    <n v="0"/>
    <n v="0"/>
    <n v="0"/>
    <n v="25000"/>
    <n v="0"/>
    <n v="25000"/>
    <n v="25000"/>
    <n v="0"/>
    <n v="25000"/>
    <n v="25000"/>
  </r>
  <r>
    <s v="211-FM"/>
    <s v="Excluded"/>
    <x v="1"/>
    <e v="#N/A"/>
    <n v="0"/>
    <n v="0"/>
    <n v="0"/>
    <n v="0"/>
    <n v="0"/>
    <n v="0"/>
    <n v="0"/>
    <n v="0"/>
    <n v="0"/>
    <n v="0"/>
    <n v="0"/>
    <n v="0"/>
    <n v="0"/>
    <n v="0"/>
    <n v="0"/>
    <n v="0"/>
    <n v="0"/>
    <n v="0"/>
    <n v="0"/>
  </r>
  <r>
    <s v="213-HC"/>
    <n v="213"/>
    <x v="9"/>
    <e v="#N/A"/>
    <n v="1.3526659884740501E-3"/>
    <n v="1.1705831886659268E-3"/>
    <n v="2.3496301821001801E-3"/>
    <n v="2.1717128181975086E-3"/>
    <n v="2.8466097239960458E-3"/>
    <n v="0"/>
    <n v="0"/>
    <n v="0"/>
    <n v="0"/>
    <n v="0"/>
    <n v="1.8419881810734337E-3"/>
    <n v="1.2182198398100392E-3"/>
    <n v="66886"/>
    <n v="-6623"/>
    <n v="60263"/>
    <n v="82079"/>
    <n v="22633"/>
    <n v="104712"/>
    <n v="98089"/>
  </r>
  <r>
    <s v="214-AU"/>
    <s v="Excluded"/>
    <x v="1"/>
    <e v="#N/A"/>
    <n v="0"/>
    <n v="0"/>
    <n v="0"/>
    <n v="0"/>
    <n v="0"/>
    <n v="0"/>
    <n v="0"/>
    <n v="0"/>
    <n v="0"/>
    <n v="0"/>
    <n v="0"/>
    <n v="0"/>
    <n v="0"/>
    <n v="0"/>
    <n v="0"/>
    <n v="0"/>
    <n v="0"/>
    <n v="0"/>
    <n v="0"/>
  </r>
  <r>
    <s v="215-PK"/>
    <n v="215"/>
    <x v="10"/>
    <e v="#N/A"/>
    <n v="9.1462959867399214E-4"/>
    <n v="4.9432340495619528E-4"/>
    <n v="0"/>
    <n v="0"/>
    <n v="0"/>
    <n v="0"/>
    <n v="0"/>
    <n v="0"/>
    <n v="0"/>
    <n v="0"/>
    <n v="0"/>
    <n v="3.5223825090754685E-4"/>
    <n v="19263"/>
    <n v="-1838"/>
    <n v="17425"/>
    <n v="7107"/>
    <n v="-7107"/>
    <n v="0"/>
    <n v="-1838"/>
  </r>
  <r>
    <s v="216-PA"/>
    <n v="216"/>
    <x v="11"/>
    <e v="#N/A"/>
    <n v="0"/>
    <n v="0"/>
    <n v="0"/>
    <n v="0"/>
    <n v="0"/>
    <n v="0"/>
    <n v="0"/>
    <n v="0"/>
    <n v="0"/>
    <n v="0"/>
    <n v="0"/>
    <n v="0"/>
    <n v="25000"/>
    <n v="0"/>
    <n v="25000"/>
    <n v="25000"/>
    <n v="0"/>
    <n v="25000"/>
    <n v="25000"/>
  </r>
  <r>
    <s v="217-DS"/>
    <n v="203"/>
    <x v="5"/>
    <e v="#N/A"/>
    <n v="1.6721013664325138E-6"/>
    <n v="0"/>
    <n v="3.9464287980029745E-6"/>
    <n v="-3.5940452612500225E-6"/>
    <n v="0"/>
    <n v="0"/>
    <n v="0"/>
    <n v="0"/>
    <n v="0"/>
    <n v="0"/>
    <n v="8.8095884188237984E-8"/>
    <n v="1.404632541108872E-6"/>
    <n v="77"/>
    <n v="-8"/>
    <n v="69"/>
    <n v="5"/>
    <n v="0"/>
    <n v="5"/>
    <n v="-3"/>
  </r>
  <r>
    <s v="217-EC"/>
    <n v="202"/>
    <x v="4"/>
    <e v="#N/A"/>
    <n v="-4.3772287079385179E-9"/>
    <n v="0"/>
    <n v="0"/>
    <n v="0"/>
    <n v="0"/>
    <n v="0"/>
    <n v="0"/>
    <n v="0"/>
    <n v="0"/>
    <n v="0"/>
    <n v="0"/>
    <n v="-1.0943071769846295E-9"/>
    <n v="0"/>
    <n v="0"/>
    <n v="0"/>
    <n v="0"/>
    <n v="0"/>
    <n v="0"/>
    <n v="0"/>
  </r>
  <r>
    <s v="217-EM"/>
    <s v="100-EM"/>
    <x v="0"/>
    <s v="Portland Bureau of Emergency Management"/>
    <n v="4.2261464704696659E-3"/>
    <n v="9.1905748395196231E-4"/>
    <n v="1.1969776193356905E-3"/>
    <n v="1.4379109314361033E-3"/>
    <n v="2.7552588512485339E-3"/>
    <n v="0"/>
    <n v="0"/>
    <n v="0"/>
    <n v="0"/>
    <n v="0"/>
    <n v="1.347536850505082E-3"/>
    <n v="1.5855453934393296E-3"/>
    <n v="86759"/>
    <n v="-8325"/>
    <n v="78434"/>
    <n v="51240"/>
    <n v="25364"/>
    <n v="76604"/>
    <n v="68279"/>
  </r>
  <r>
    <s v="217-ES"/>
    <n v="600"/>
    <x v="12"/>
    <e v="#N/A"/>
    <n v="9.5932383954998692E-4"/>
    <n v="5.7337260326118596E-4"/>
    <n v="6.2180552174734131E-4"/>
    <n v="1.3467463709439343E-4"/>
    <n v="1.6877112270199257E-4"/>
    <n v="0"/>
    <n v="0"/>
    <n v="0"/>
    <n v="0"/>
    <n v="0"/>
    <n v="2.3131282038593183E-4"/>
    <n v="5.3862549113962857E-4"/>
    <n v="29523"/>
    <n v="-2878"/>
    <n v="26645"/>
    <n v="19159"/>
    <n v="-6009"/>
    <n v="13150"/>
    <n v="10272"/>
  </r>
  <r>
    <s v="217-FR"/>
    <s v="100-FR"/>
    <x v="0"/>
    <s v="Portland Fire &amp; Rescue"/>
    <n v="1.3061147083187124E-3"/>
    <n v="2.9442991180748902E-3"/>
    <n v="1.7902563679484227E-3"/>
    <n v="-5.1955319899227369E-6"/>
    <n v="3.0431247304961449E-5"/>
    <n v="0"/>
    <n v="0"/>
    <n v="0"/>
    <n v="0"/>
    <n v="0"/>
    <n v="4.5387302081586534E-4"/>
    <n v="1.5101675485855062E-3"/>
    <n v="82891"/>
    <n v="-8186"/>
    <n v="74705"/>
    <n v="68086"/>
    <n v="-42285"/>
    <n v="25801"/>
    <n v="17615"/>
  </r>
  <r>
    <s v="217-HC"/>
    <s v="100-HC"/>
    <x v="0"/>
    <s v="Portland Housing Bureau"/>
    <n v="5.3868999792408018E-3"/>
    <n v="4.667939708785678E-3"/>
    <n v="3.6068693921340387E-3"/>
    <n v="2.6701495705294363E-3"/>
    <n v="2.0875127937478449E-3"/>
    <n v="0"/>
    <n v="0"/>
    <n v="0"/>
    <n v="0"/>
    <n v="0"/>
    <n v="2.0911329391028301E-3"/>
    <n v="3.4154272700401295E-3"/>
    <n v="187245"/>
    <n v="-18291"/>
    <n v="168954"/>
    <n v="157696"/>
    <n v="-38821"/>
    <n v="118875"/>
    <n v="100584"/>
  </r>
  <r>
    <s v="217-MF"/>
    <s v="100-MF"/>
    <x v="0"/>
    <s v="Office of Management &amp; Finance"/>
    <n v="3.7467326848470534E-4"/>
    <n v="1.3335784854745709E-5"/>
    <n v="0"/>
    <n v="0"/>
    <n v="0"/>
    <n v="0"/>
    <n v="0"/>
    <n v="0"/>
    <n v="0"/>
    <n v="0"/>
    <n v="0"/>
    <n v="9.7002263334862763E-5"/>
    <n v="5295"/>
    <n v="-496"/>
    <n v="4799"/>
    <n v="192"/>
    <n v="-192"/>
    <n v="0"/>
    <n v="-496"/>
  </r>
  <r>
    <s v="217-MY"/>
    <s v="100-MY"/>
    <x v="0"/>
    <s v="Office of the Mayor"/>
    <n v="4.3523879350209663E-5"/>
    <n v="4.5669195382167963E-5"/>
    <n v="0"/>
    <n v="0"/>
    <n v="0"/>
    <n v="0"/>
    <n v="0"/>
    <n v="0"/>
    <n v="0"/>
    <n v="0"/>
    <n v="0"/>
    <n v="2.2298268683094405E-5"/>
    <n v="1221"/>
    <n v="-118"/>
    <n v="1103"/>
    <n v="657"/>
    <n v="-657"/>
    <n v="0"/>
    <n v="-118"/>
  </r>
  <r>
    <s v="217-NI"/>
    <s v="100-NI"/>
    <x v="0"/>
    <s v="Office of Neighborhood Involvement"/>
    <n v="0"/>
    <n v="0"/>
    <n v="5.2367685748447117E-5"/>
    <n v="2.6049197474718182E-5"/>
    <n v="0"/>
    <n v="0"/>
    <n v="0"/>
    <n v="0"/>
    <n v="0"/>
    <n v="0"/>
    <n v="1.9604220805791326E-5"/>
    <n v="1.3091921437111779E-5"/>
    <n v="721"/>
    <n v="-73"/>
    <n v="648"/>
    <n v="1132"/>
    <n v="-18"/>
    <n v="1114"/>
    <n v="1041"/>
  </r>
  <r>
    <s v="217-PA"/>
    <s v="100-PA"/>
    <x v="0"/>
    <s v="Commissioner of Public Affairs"/>
    <n v="2.8970688203491077E-5"/>
    <n v="0"/>
    <n v="0"/>
    <n v="0"/>
    <n v="0"/>
    <n v="0"/>
    <n v="0"/>
    <n v="0"/>
    <n v="0"/>
    <n v="0"/>
    <n v="0"/>
    <n v="7.2426720508727694E-6"/>
    <n v="395"/>
    <n v="-37"/>
    <n v="358"/>
    <n v="0"/>
    <n v="0"/>
    <n v="0"/>
    <n v="-37"/>
  </r>
  <r>
    <s v="217-PK"/>
    <s v="100-PK"/>
    <x v="0"/>
    <s v="Portland Parks &amp; Recreation"/>
    <n v="1.1949205146045386E-3"/>
    <n v="4.406004623845493E-4"/>
    <n v="7.7088427850544809E-4"/>
    <n v="7.4594180477163883E-4"/>
    <n v="8.8521346471095563E-4"/>
    <n v="0"/>
    <n v="0"/>
    <n v="0"/>
    <n v="0"/>
    <n v="0"/>
    <n v="6.0050988699701061E-4"/>
    <n v="6.0160131387363401E-4"/>
    <n v="32968"/>
    <n v="-3208"/>
    <n v="29760"/>
    <n v="28225"/>
    <n v="5912"/>
    <n v="34137"/>
    <n v="30929"/>
  </r>
  <r>
    <s v="217-PL"/>
    <s v="100-PL"/>
    <x v="0"/>
    <s v="Portland Police Bureau"/>
    <n v="1.7627406412877966E-3"/>
    <n v="1.4862748223555917E-3"/>
    <n v="1.4050847077925893E-3"/>
    <n v="1.8044019647979572E-3"/>
    <n v="1.1152288399897314E-3"/>
    <n v="0"/>
    <n v="0"/>
    <n v="0"/>
    <n v="0"/>
    <n v="0"/>
    <n v="1.0811788781450696E-3"/>
    <n v="1.1635250428589945E-3"/>
    <n v="63803"/>
    <n v="-6246"/>
    <n v="57557"/>
    <n v="67688"/>
    <n v="-6226"/>
    <n v="61462"/>
    <n v="55216"/>
  </r>
  <r>
    <s v="217-PN"/>
    <s v="100-PN"/>
    <x v="0"/>
    <s v="Bureau of Planning &amp; Sustainability"/>
    <n v="1.8647016181961625E-3"/>
    <n v="1.6507621267737847E-3"/>
    <n v="8.8173043525232859E-4"/>
    <n v="1.5213532545516589E-3"/>
    <n v="1.2810831901050158E-3"/>
    <n v="0"/>
    <n v="0"/>
    <n v="0"/>
    <n v="0"/>
    <n v="0"/>
    <n v="9.2104171997725083E-4"/>
    <n v="1.0992985450555689E-3"/>
    <n v="60243"/>
    <n v="-5863"/>
    <n v="54380"/>
    <n v="58415"/>
    <n v="-6056"/>
    <n v="52359"/>
    <n v="46496"/>
  </r>
  <r>
    <s v="217-PU"/>
    <s v="100-PU"/>
    <x v="0"/>
    <s v="Commissioner of Public Utilities"/>
    <n v="0"/>
    <n v="0"/>
    <n v="0"/>
    <n v="0"/>
    <n v="0"/>
    <n v="0"/>
    <n v="0"/>
    <n v="0"/>
    <n v="0"/>
    <n v="0"/>
    <n v="0"/>
    <n v="0"/>
    <n v="0"/>
    <n v="0"/>
    <n v="0"/>
    <n v="0"/>
    <n v="0"/>
    <n v="0"/>
    <n v="0"/>
  </r>
  <r>
    <s v="217-SD"/>
    <s v="100-PN"/>
    <x v="0"/>
    <s v="Bureau of Planning &amp; Sustainability"/>
    <n v="0"/>
    <n v="0"/>
    <n v="0"/>
    <n v="0"/>
    <n v="0"/>
    <n v="0"/>
    <n v="0"/>
    <n v="0"/>
    <n v="0"/>
    <n v="0"/>
    <n v="0"/>
    <n v="0"/>
    <n v="0"/>
    <n v="0"/>
    <n v="0"/>
    <n v="0"/>
    <n v="0"/>
    <n v="0"/>
    <n v="0"/>
  </r>
  <r>
    <s v="217-TR"/>
    <n v="200"/>
    <x v="3"/>
    <e v="#N/A"/>
    <n v="6.2411254632060075E-3"/>
    <n v="6.9968227614035225E-3"/>
    <n v="4.6770590838273061E-3"/>
    <n v="3.150444406494863E-3"/>
    <n v="3.1769703137264718E-3"/>
    <n v="0"/>
    <n v="0"/>
    <n v="0"/>
    <n v="0"/>
    <n v="0"/>
    <n v="2.7511184510121602E-3"/>
    <n v="4.4787518271092088E-3"/>
    <n v="245605"/>
    <n v="-24050"/>
    <n v="221555"/>
    <n v="213552"/>
    <n v="-57158"/>
    <n v="156394"/>
    <n v="132344"/>
  </r>
  <r>
    <s v="217-WA"/>
    <n v="602"/>
    <x v="13"/>
    <e v="#N/A"/>
    <n v="1.1667667267086666E-4"/>
    <n v="0"/>
    <n v="1.1760158820843021E-4"/>
    <n v="1.1671585679216002E-5"/>
    <n v="-1.5823469139158057E-5"/>
    <n v="0"/>
    <n v="0"/>
    <n v="0"/>
    <n v="0"/>
    <n v="0"/>
    <n v="2.8362426187122035E-5"/>
    <n v="5.856956521982422E-5"/>
    <n v="3212"/>
    <n v="-315"/>
    <n v="2897"/>
    <n v="1865"/>
    <n v="-253"/>
    <n v="1612"/>
    <n v="1297"/>
  </r>
  <r>
    <s v="217-ZD"/>
    <s v="PDC"/>
    <x v="2"/>
    <e v="#N/A"/>
    <n v="3.8549268354355241E-4"/>
    <n v="4.7911954335899676E-4"/>
    <n v="5.050444348951737E-5"/>
    <n v="0"/>
    <n v="0"/>
    <n v="0"/>
    <n v="0"/>
    <n v="0"/>
    <n v="0"/>
    <n v="0"/>
    <n v="1.2626110872379343E-5"/>
    <n v="2.287791675980166E-4"/>
    <n v="12531"/>
    <n v="-1214"/>
    <n v="11317"/>
    <n v="7617"/>
    <n v="-6899"/>
    <n v="718"/>
    <n v="-496"/>
  </r>
  <r>
    <s v="218-HC"/>
    <s v="100-HC"/>
    <x v="0"/>
    <s v="Portland Housing Bureau"/>
    <n v="7.8886590863616289E-3"/>
    <n v="1.4357583358944208E-2"/>
    <n v="9.1044300893597316E-3"/>
    <n v="7.2859910563560538E-3"/>
    <n v="8.6464539064074371E-3"/>
    <n v="0"/>
    <n v="0"/>
    <n v="0"/>
    <n v="0"/>
    <n v="0"/>
    <n v="6.2592187630308056E-3"/>
    <n v="7.837668133666393E-3"/>
    <n v="430096"/>
    <n v="-42383"/>
    <n v="387713"/>
    <n v="442954"/>
    <n v="-87134"/>
    <n v="355820"/>
    <n v="313437"/>
  </r>
  <r>
    <s v="219-HC"/>
    <s v="100-HC"/>
    <x v="0"/>
    <s v="Portland Housing Bureau"/>
    <n v="3.5577359866172152E-3"/>
    <n v="3.4883746023043824E-3"/>
    <n v="5.329400726811425E-3"/>
    <n v="4.1620436722430623E-3"/>
    <n v="5.4305991965204765E-3"/>
    <n v="0"/>
    <n v="0"/>
    <n v="0"/>
    <n v="0"/>
    <n v="0"/>
    <n v="3.7305108988937409E-3"/>
    <n v="3.0938778289332555E-3"/>
    <n v="169827"/>
    <n v="-16779"/>
    <n v="153048"/>
    <n v="187126"/>
    <n v="24944"/>
    <n v="212070"/>
    <n v="195291"/>
  </r>
  <r>
    <s v="220-PK"/>
    <s v="Excluded"/>
    <x v="1"/>
    <e v="#N/A"/>
    <n v="0"/>
    <n v="0"/>
    <n v="0"/>
    <n v="0"/>
    <n v="0"/>
    <n v="0"/>
    <n v="0"/>
    <n v="0"/>
    <n v="0"/>
    <n v="0"/>
    <n v="0"/>
    <n v="0"/>
    <n v="0"/>
    <n v="0"/>
    <n v="0"/>
    <n v="0"/>
    <n v="0"/>
    <n v="0"/>
    <n v="0"/>
  </r>
  <r>
    <s v="221-HC"/>
    <n v="221"/>
    <x v="14"/>
    <e v="#N/A"/>
    <n v="6.3268600532940455E-3"/>
    <n v="1.263841132302255E-2"/>
    <n v="8.7227178385244405E-3"/>
    <n v="2.4515960883412999E-2"/>
    <n v="1.9920780407917369E-2"/>
    <n v="0"/>
    <n v="0"/>
    <n v="0"/>
    <n v="0"/>
    <n v="0"/>
    <n v="1.3289864782463703E-2"/>
    <n v="6.9219973037102592E-3"/>
    <n v="379934"/>
    <n v="-37517"/>
    <n v="342417"/>
    <n v="661441"/>
    <n v="94052"/>
    <n v="755493"/>
    <n v="717976"/>
  </r>
  <r>
    <s v="222-PL"/>
    <s v="Excluded"/>
    <x v="1"/>
    <e v="#N/A"/>
    <n v="0"/>
    <n v="0"/>
    <n v="0"/>
    <n v="0"/>
    <n v="0"/>
    <n v="0"/>
    <n v="0"/>
    <n v="0"/>
    <n v="0"/>
    <n v="0"/>
    <n v="0"/>
    <n v="0"/>
    <n v="0"/>
    <n v="0"/>
    <n v="0"/>
    <n v="0"/>
    <n v="0"/>
    <n v="0"/>
    <n v="0"/>
  </r>
  <r>
    <s v="223-MF"/>
    <n v="223"/>
    <x v="15"/>
    <e v="#N/A"/>
    <n v="0"/>
    <n v="0"/>
    <n v="0"/>
    <n v="0"/>
    <n v="0"/>
    <n v="0"/>
    <n v="0"/>
    <n v="0"/>
    <n v="0"/>
    <n v="0"/>
    <n v="0"/>
    <n v="0"/>
    <n v="25000"/>
    <n v="0"/>
    <n v="25000"/>
    <n v="25000"/>
    <n v="0"/>
    <n v="25000"/>
    <n v="25000"/>
  </r>
  <r>
    <s v="224-PN"/>
    <n v="224"/>
    <x v="16"/>
    <e v="#N/A"/>
    <n v="7.7148655977416375E-7"/>
    <n v="5.4015262975662016E-6"/>
    <n v="0"/>
    <n v="7.6306693444798783E-9"/>
    <n v="0"/>
    <n v="0"/>
    <n v="0"/>
    <n v="0"/>
    <n v="0"/>
    <n v="0"/>
    <n v="1.9076673361199696E-9"/>
    <n v="1.5432532143350913E-6"/>
    <n v="85"/>
    <n v="-9"/>
    <n v="76"/>
    <n v="78"/>
    <n v="-78"/>
    <n v="0"/>
    <n v="-9"/>
  </r>
  <r>
    <s v="303-FM"/>
    <s v="Excluded"/>
    <x v="1"/>
    <e v="#N/A"/>
    <n v="0"/>
    <n v="0"/>
    <n v="0"/>
    <n v="0"/>
    <n v="0"/>
    <n v="0"/>
    <n v="0"/>
    <n v="0"/>
    <n v="0"/>
    <n v="0"/>
    <n v="0"/>
    <n v="0"/>
    <n v="0"/>
    <n v="0"/>
    <n v="0"/>
    <n v="0"/>
    <n v="0"/>
    <n v="0"/>
    <n v="0"/>
  </r>
  <r>
    <s v="306-FM"/>
    <s v="Excluded"/>
    <x v="1"/>
    <e v="#N/A"/>
    <n v="0"/>
    <n v="0"/>
    <n v="0"/>
    <n v="0"/>
    <n v="0"/>
    <n v="0"/>
    <n v="0"/>
    <n v="0"/>
    <n v="0"/>
    <n v="0"/>
    <n v="0"/>
    <n v="0"/>
    <n v="0"/>
    <n v="0"/>
    <n v="0"/>
    <n v="0"/>
    <n v="0"/>
    <n v="0"/>
    <n v="0"/>
  </r>
  <r>
    <s v="317-FM"/>
    <s v="Excluded"/>
    <x v="1"/>
    <e v="#N/A"/>
    <n v="0"/>
    <n v="0"/>
    <n v="0"/>
    <n v="0"/>
    <n v="0"/>
    <n v="0"/>
    <n v="0"/>
    <n v="0"/>
    <n v="0"/>
    <n v="0"/>
    <n v="0"/>
    <n v="0"/>
    <n v="0"/>
    <n v="0"/>
    <n v="0"/>
    <n v="0"/>
    <n v="0"/>
    <n v="0"/>
    <n v="0"/>
  </r>
  <r>
    <s v="319-FM"/>
    <s v="Excluded"/>
    <x v="1"/>
    <e v="#N/A"/>
    <n v="0"/>
    <n v="0"/>
    <n v="0"/>
    <n v="0"/>
    <n v="0"/>
    <n v="0"/>
    <n v="0"/>
    <n v="0"/>
    <n v="0"/>
    <n v="0"/>
    <n v="0"/>
    <n v="0"/>
    <n v="0"/>
    <n v="0"/>
    <n v="0"/>
    <n v="0"/>
    <n v="0"/>
    <n v="0"/>
    <n v="0"/>
  </r>
  <r>
    <s v="320-FM"/>
    <s v="Excluded"/>
    <x v="1"/>
    <e v="#N/A"/>
    <n v="0"/>
    <n v="0"/>
    <n v="0"/>
    <n v="0"/>
    <n v="0"/>
    <n v="0"/>
    <n v="0"/>
    <n v="0"/>
    <n v="0"/>
    <n v="0"/>
    <n v="0"/>
    <n v="0"/>
    <n v="0"/>
    <n v="0"/>
    <n v="0"/>
    <n v="0"/>
    <n v="0"/>
    <n v="0"/>
    <n v="0"/>
  </r>
  <r>
    <s v="321-FM"/>
    <s v="Excluded"/>
    <x v="1"/>
    <e v="#N/A"/>
    <n v="0"/>
    <n v="0"/>
    <n v="0"/>
    <n v="0"/>
    <n v="0"/>
    <n v="0"/>
    <n v="0"/>
    <n v="0"/>
    <n v="0"/>
    <n v="0"/>
    <n v="0"/>
    <n v="0"/>
    <n v="0"/>
    <n v="0"/>
    <n v="0"/>
    <n v="0"/>
    <n v="0"/>
    <n v="0"/>
    <n v="0"/>
  </r>
  <r>
    <s v="322-FM"/>
    <s v="Excluded"/>
    <x v="1"/>
    <e v="#N/A"/>
    <n v="0"/>
    <n v="0"/>
    <n v="0"/>
    <n v="0"/>
    <n v="0"/>
    <n v="0"/>
    <n v="0"/>
    <n v="0"/>
    <n v="0"/>
    <n v="0"/>
    <n v="0"/>
    <n v="0"/>
    <n v="0"/>
    <n v="0"/>
    <n v="0"/>
    <n v="0"/>
    <n v="0"/>
    <n v="0"/>
    <n v="0"/>
  </r>
  <r>
    <s v="323-FM"/>
    <s v="Excluded"/>
    <x v="1"/>
    <e v="#N/A"/>
    <n v="0"/>
    <n v="0"/>
    <n v="0"/>
    <n v="0"/>
    <n v="0"/>
    <n v="0"/>
    <n v="0"/>
    <n v="0"/>
    <n v="0"/>
    <n v="0"/>
    <n v="0"/>
    <n v="0"/>
    <n v="0"/>
    <n v="0"/>
    <n v="0"/>
    <n v="0"/>
    <n v="0"/>
    <n v="0"/>
    <n v="0"/>
  </r>
  <r>
    <s v="324-FM"/>
    <s v="Excluded"/>
    <x v="1"/>
    <e v="#N/A"/>
    <n v="0"/>
    <n v="0"/>
    <n v="0"/>
    <n v="0"/>
    <n v="0"/>
    <n v="0"/>
    <n v="0"/>
    <n v="0"/>
    <n v="0"/>
    <n v="0"/>
    <n v="0"/>
    <n v="0"/>
    <n v="0"/>
    <n v="0"/>
    <n v="0"/>
    <n v="0"/>
    <n v="0"/>
    <n v="0"/>
    <n v="0"/>
  </r>
  <r>
    <s v="400-FR"/>
    <n v="400"/>
    <x v="17"/>
    <e v="#N/A"/>
    <n v="0"/>
    <n v="0"/>
    <n v="8.3690893302023275E-5"/>
    <n v="0"/>
    <n v="1.3904670337279578E-4"/>
    <n v="0"/>
    <n v="0"/>
    <n v="0"/>
    <n v="0"/>
    <n v="0"/>
    <n v="5.5684399168704767E-5"/>
    <n v="2.0922723325505819E-5"/>
    <n v="1153"/>
    <n v="-118"/>
    <n v="1035"/>
    <n v="1208"/>
    <n v="1958"/>
    <n v="3166"/>
    <n v="3048"/>
  </r>
  <r>
    <s v="400-MF"/>
    <n v="400"/>
    <x v="17"/>
    <e v="#N/A"/>
    <n v="8.2620191862339528E-6"/>
    <n v="7.1548406098729807E-4"/>
    <n v="-5.2367685748447118E-8"/>
    <n v="0"/>
    <n v="1.8157861532801937E-6"/>
    <n v="0"/>
    <n v="0"/>
    <n v="0"/>
    <n v="0"/>
    <n v="0"/>
    <n v="4.4085461688293666E-7"/>
    <n v="1.809234281219459E-4"/>
    <n v="9932"/>
    <n v="-982"/>
    <n v="8950"/>
    <n v="10286"/>
    <n v="-10261"/>
    <n v="25"/>
    <n v="-957"/>
  </r>
  <r>
    <s v="401-AU"/>
    <n v="401"/>
    <x v="18"/>
    <e v="#N/A"/>
    <n v="2.9819870572831152E-6"/>
    <n v="4.2674511535186268E-6"/>
    <n v="1.4662952009565192E-6"/>
    <n v="4.077638930956435E-6"/>
    <n v="2.5686730948841763E-6"/>
    <n v="0"/>
    <n v="0"/>
    <n v="0"/>
    <n v="0"/>
    <n v="0"/>
    <n v="2.0281518066992827E-6"/>
    <n v="2.1789333529395652E-6"/>
    <n v="119"/>
    <n v="-11"/>
    <n v="108"/>
    <n v="141"/>
    <n v="-26"/>
    <n v="115"/>
    <n v="104"/>
  </r>
  <r>
    <s v="402-PK"/>
    <n v="402"/>
    <x v="19"/>
    <e v="#N/A"/>
    <n v="9.4261617643322092E-3"/>
    <n v="8.5655628767124965E-3"/>
    <n v="8.2770112283508321E-3"/>
    <n v="1.7067220049776875E-2"/>
    <n v="1.5389601652695917E-2"/>
    <n v="1.2971895562029477E-3"/>
    <n v="1.7944944909019129E-3"/>
    <n v="2.8405301664303677E-3"/>
    <n v="3.3240495770389292E-3"/>
    <n v="2.7766688785844846E-3"/>
    <n v="1.0928562284543721E-2"/>
    <n v="7.0615351518101529E-3"/>
    <n v="387488"/>
    <n v="-38168"/>
    <n v="349320"/>
    <n v="527294"/>
    <n v="93966"/>
    <n v="621260"/>
    <n v="583092"/>
  </r>
  <r>
    <s v="403-FR"/>
    <s v="Excluded"/>
    <x v="1"/>
    <e v="#N/A"/>
    <n v="0"/>
    <n v="0"/>
    <n v="0"/>
    <n v="0"/>
    <n v="0"/>
    <n v="0"/>
    <n v="0"/>
    <n v="0"/>
    <n v="0"/>
    <n v="0"/>
    <n v="0"/>
    <n v="0"/>
    <n v="25004"/>
    <n v="-2496"/>
    <n v="22508"/>
    <n v="49314"/>
    <n v="-49314"/>
    <n v="0"/>
    <n v="-2496"/>
  </r>
  <r>
    <s v="403-MF"/>
    <s v="Excluded"/>
    <x v="1"/>
    <e v="#N/A"/>
    <n v="0"/>
    <n v="0"/>
    <n v="0"/>
    <n v="0"/>
    <n v="0"/>
    <n v="0"/>
    <n v="0"/>
    <n v="0"/>
    <n v="0"/>
    <n v="0"/>
    <n v="0"/>
    <n v="0"/>
    <n v="265383"/>
    <n v="-26493"/>
    <n v="238890"/>
    <n v="110718"/>
    <n v="-110718"/>
    <n v="0"/>
    <n v="-26493"/>
  </r>
  <r>
    <s v="500-PK"/>
    <s v="Excluded"/>
    <x v="1"/>
    <e v="#N/A"/>
    <n v="0"/>
    <n v="0"/>
    <n v="0"/>
    <n v="0"/>
    <n v="0"/>
    <n v="0"/>
    <n v="0"/>
    <n v="0"/>
    <n v="0"/>
    <n v="0"/>
    <n v="0"/>
    <n v="0"/>
    <n v="0"/>
    <n v="0"/>
    <n v="0"/>
    <n v="0"/>
    <n v="0"/>
    <n v="0"/>
    <n v="0"/>
  </r>
  <r>
    <s v="600-ES"/>
    <n v="600"/>
    <x v="12"/>
    <e v="#N/A"/>
    <n v="0.13549843055861713"/>
    <n v="0.13302765558131638"/>
    <n v="0.12941024631407544"/>
    <n v="0.12302700408624974"/>
    <n v="0.11997594295094142"/>
    <n v="7.1604863502402707E-2"/>
    <n v="7.6887187033258877E-2"/>
    <n v="6.9654739733335969E-2"/>
    <n v="6.6939481137611542E-2"/>
    <n v="6.149807368124155E-2"/>
    <n v="0.10961098955049907"/>
    <n v="0.11766298230258537"/>
    <n v="6461289"/>
    <n v="-640743"/>
    <n v="5820546"/>
    <n v="6584652"/>
    <n v="-353559"/>
    <n v="6231093"/>
    <n v="5590350"/>
  </r>
  <r>
    <s v="601-WA"/>
    <n v="601"/>
    <x v="20"/>
    <e v="#N/A"/>
    <n v="4.5953843152062886E-4"/>
    <n v="3.7825833534558406E-4"/>
    <n v="7.3923482026965913E-4"/>
    <n v="6.0291730774704824E-4"/>
    <n v="1.8578893625533744E-3"/>
    <n v="3.8915686686088433E-4"/>
    <n v="4.1411411328505683E-4"/>
    <n v="4.9400524633571609E-4"/>
    <n v="5.7311199604119468E-4"/>
    <n v="3.0851876428716494E-4"/>
    <n v="9.1464670653119344E-4"/>
    <n v="5.0236424899077281E-4"/>
    <n v="27616"/>
    <n v="-2765"/>
    <n v="24851"/>
    <n v="31947"/>
    <n v="20048"/>
    <n v="51995"/>
    <n v="49230"/>
  </r>
  <r>
    <s v="602-WA"/>
    <n v="602"/>
    <x v="13"/>
    <e v="#N/A"/>
    <n v="0.12080447977403019"/>
    <n v="0.10405966585356331"/>
    <n v="9.3874295143976286E-2"/>
    <n v="9.0912281979137644E-2"/>
    <n v="9.2245464969141933E-2"/>
    <n v="7.6793621727214503E-2"/>
    <n v="8.0890290128347767E-2"/>
    <n v="7.2742272522934193E-2"/>
    <n v="6.9575796319401029E-2"/>
    <n v="6.4583261324113198E-2"/>
    <n v="8.6499788036934658E-2"/>
    <n v="9.8886792224433806E-2"/>
    <n v="5430265"/>
    <n v="-538539"/>
    <n v="4891726"/>
    <n v="5238769"/>
    <n v="-321486"/>
    <n v="4917283"/>
    <n v="4378744"/>
  </r>
  <r>
    <s v="603-PK"/>
    <n v="603"/>
    <x v="21"/>
    <e v="#N/A"/>
    <n v="7.7038213025579201E-3"/>
    <n v="8.8910125708960754E-3"/>
    <n v="8.4874968570944256E-3"/>
    <n v="7.0907584735101998E-3"/>
    <n v="6.8898384664919142E-3"/>
    <n v="5.5779150916726748E-3"/>
    <n v="6.2117116992758525E-3"/>
    <n v="5.6810603328607354E-3"/>
    <n v="4.4702735691213181E-3"/>
    <n v="5.1419794047860828E-3"/>
    <n v="6.8914662248381461E-3"/>
    <n v="7.7264732762878765E-3"/>
    <n v="424476"/>
    <n v="-42263"/>
    <n v="382213"/>
    <n v="431521"/>
    <n v="-39759"/>
    <n v="391762"/>
    <n v="349499"/>
  </r>
  <r>
    <s v="604-PK"/>
    <n v="604"/>
    <x v="22"/>
    <e v="#N/A"/>
    <n v="1.3691686878565667E-3"/>
    <n v="1.3404682853619266E-3"/>
    <n v="1.3237629285938258E-3"/>
    <n v="1.0448761378426422E-3"/>
    <n v="1.2949690825562225E-3"/>
    <n v="7.7831373372176866E-4"/>
    <n v="1.104304302093485E-3"/>
    <n v="7.4100786950357408E-4"/>
    <n v="2.2924479841647787E-3"/>
    <n v="2.3653105262015982E-3"/>
    <n v="1.3657992355706684E-3"/>
    <n v="1.2269854675629821E-3"/>
    <n v="67390"/>
    <n v="-6694"/>
    <n v="60696"/>
    <n v="73394"/>
    <n v="4248"/>
    <n v="77642"/>
    <n v="70948"/>
  </r>
  <r>
    <s v="605-PN"/>
    <n v="605"/>
    <x v="23"/>
    <e v="#N/A"/>
    <n v="3.5392093661108653E-3"/>
    <n v="3.3474377605082761E-3"/>
    <n v="3.682226491926054E-3"/>
    <n v="3.241854579156558E-3"/>
    <n v="2.9939452697212298E-3"/>
    <n v="3.5024118017479588E-3"/>
    <n v="3.8650650573271972E-3"/>
    <n v="2.8405301664303677E-3"/>
    <n v="2.7509375809977345E-3"/>
    <n v="2.4681501142973196E-3"/>
    <n v="3.1511414070114121E-3"/>
    <n v="3.492885656761759E-3"/>
    <n v="191945"/>
    <n v="-19159"/>
    <n v="172786"/>
    <n v="193635"/>
    <n v="-14501"/>
    <n v="179134"/>
    <n v="159975"/>
  </r>
  <r>
    <s v="606-TR"/>
    <n v="606"/>
    <x v="24"/>
    <e v="#N/A"/>
    <n v="3.9817034161963704E-3"/>
    <n v="4.2048204400954052E-3"/>
    <n v="5.1356151530530109E-3"/>
    <n v="4.8905050442969999E-3"/>
    <n v="5.3226179369822756E-3"/>
    <n v="2.5943791124058955E-4"/>
    <n v="2.7607607552337124E-4"/>
    <n v="0"/>
    <n v="0"/>
    <n v="0"/>
    <n v="3.8371845335830714E-3"/>
    <n v="3.3751609178998597E-3"/>
    <n v="185241"/>
    <n v="-18279"/>
    <n v="166962"/>
    <n v="206477"/>
    <n v="11657"/>
    <n v="218134"/>
    <n v="199855"/>
  </r>
  <r>
    <s v="607-MF"/>
    <n v="607"/>
    <x v="25"/>
    <e v="#N/A"/>
    <n v="2.7167472422648152E-3"/>
    <n v="2.6201616651210179E-3"/>
    <n v="3.874825413925408E-3"/>
    <n v="6.2662889735976843E-3"/>
    <n v="4.204844782004594E-3"/>
    <n v="2.5943791124058955E-4"/>
    <n v="4.1411411328505683E-4"/>
    <n v="2.4700262316785805E-4"/>
    <n v="3.4386719762471681E-4"/>
    <n v="4.1135835238288661E-4"/>
    <n v="3.6700088068132098E-3"/>
    <n v="2.3796464676356021E-3"/>
    <n v="130639"/>
    <n v="-12923"/>
    <n v="117716"/>
    <n v="188875"/>
    <n v="19755"/>
    <n v="208630"/>
    <n v="195707"/>
  </r>
  <r>
    <s v="608-ES"/>
    <n v="608"/>
    <x v="26"/>
    <e v="#N/A"/>
    <n v="3.5930629580582215E-3"/>
    <n v="2.7308172069631501E-3"/>
    <n v="2.7131687512733302E-3"/>
    <n v="1.2384271119317062E-3"/>
    <n v="5.2609259381125736E-4"/>
    <n v="3.8915686686088433E-4"/>
    <n v="4.1411411328505683E-4"/>
    <n v="6.1750655791964514E-4"/>
    <n v="3.4386719762471681E-4"/>
    <n v="4.1135835238288661E-4"/>
    <n v="1.2338164565813443E-3"/>
    <n v="2.3776603572458078E-3"/>
    <n v="130415"/>
    <n v="-12797"/>
    <n v="117618"/>
    <n v="102915"/>
    <n v="-32776"/>
    <n v="70139"/>
    <n v="57342"/>
  </r>
  <r>
    <s v="614-ES"/>
    <n v="600"/>
    <x v="12"/>
    <e v="#N/A"/>
    <n v="0"/>
    <n v="0"/>
    <n v="0"/>
    <n v="0"/>
    <n v="0"/>
    <n v="0"/>
    <n v="0"/>
    <n v="0"/>
    <n v="0"/>
    <n v="0"/>
    <n v="0"/>
    <n v="0"/>
    <n v="0"/>
    <n v="0"/>
    <n v="0"/>
    <n v="0"/>
    <n v="0"/>
    <n v="0"/>
    <n v="0"/>
  </r>
  <r>
    <s v="621-HC"/>
    <s v="Excluded"/>
    <x v="1"/>
    <e v="#N/A"/>
    <n v="0"/>
    <n v="0"/>
    <n v="0"/>
    <n v="0"/>
    <n v="0"/>
    <n v="0"/>
    <n v="0"/>
    <n v="0"/>
    <n v="0"/>
    <n v="0"/>
    <n v="0"/>
    <n v="0"/>
    <n v="0"/>
    <n v="0"/>
    <n v="0"/>
    <n v="0"/>
    <n v="0"/>
    <n v="0"/>
    <n v="0"/>
  </r>
  <r>
    <s v="700-MF"/>
    <n v="700"/>
    <x v="27"/>
    <e v="#N/A"/>
    <n v="7.3743095441137817E-3"/>
    <n v="7.9343065660049845E-3"/>
    <n v="6.7373845096870477E-3"/>
    <n v="5.6823038334111245E-3"/>
    <n v="7.0931569136960847E-3"/>
    <n v="1.5566274674435373E-3"/>
    <n v="1.6564564531402273E-3"/>
    <n v="1.6055170505910772E-3"/>
    <n v="1.4900911897071062E-3"/>
    <n v="1.4397542333401032E-3"/>
    <n v="5.2561581870017547E-3"/>
    <n v="5.9130502358826905E-3"/>
    <n v="324496"/>
    <n v="-31990"/>
    <n v="292506"/>
    <n v="316211"/>
    <n v="-17412"/>
    <n v="298799"/>
    <n v="266809"/>
  </r>
  <r>
    <s v="701-MF"/>
    <n v="701"/>
    <x v="28"/>
    <e v="#N/A"/>
    <n v="2.3489862744942511E-2"/>
    <n v="1.9465283375668586E-2"/>
    <n v="2.0355168107809581E-2"/>
    <n v="2.716100269029809E-2"/>
    <n v="3.9248673421188394E-2"/>
    <n v="4.7996013579509065E-3"/>
    <n v="4.8313313216589967E-3"/>
    <n v="4.693049840189303E-3"/>
    <n v="5.0433855651625132E-3"/>
    <n v="5.7590169333604129E-3"/>
    <n v="2.2982498749716702E-2"/>
    <n v="1.7021243767088436E-2"/>
    <n v="933964"/>
    <n v="-91958"/>
    <n v="842006"/>
    <n v="1035829"/>
    <n v="270665"/>
    <n v="1306494"/>
    <n v="1214536"/>
  </r>
  <r>
    <s v="702-MF"/>
    <n v="702"/>
    <x v="29"/>
    <e v="#N/A"/>
    <n v="2.4374728282709698E-2"/>
    <n v="2.4767849081278874E-2"/>
    <n v="2.4817060939141097E-2"/>
    <n v="2.4228638044500123E-2"/>
    <n v="2.3408981339937456E-2"/>
    <n v="1.0118078538382992E-2"/>
    <n v="1.0766966945411478E-2"/>
    <n v="9.5096009919625347E-3"/>
    <n v="8.8259247390343985E-3"/>
    <n v="7.9186482833705669E-3"/>
    <n v="2.0301517915425296E-2"/>
    <n v="2.1022796782095499E-2"/>
    <n v="1154260"/>
    <n v="-114305"/>
    <n v="1039955"/>
    <n v="1204181"/>
    <n v="-50094"/>
    <n v="1154087"/>
    <n v="1039782"/>
  </r>
  <r>
    <s v="703-MF"/>
    <n v="703"/>
    <x v="30"/>
    <e v="#N/A"/>
    <n v="5.3658006425613613E-3"/>
    <n v="5.3696185652913429E-3"/>
    <n v="5.4997800397477122E-3"/>
    <n v="5.454493061632682E-3"/>
    <n v="4.9541679111267606E-3"/>
    <n v="3.1132549348870746E-3"/>
    <n v="3.1748748685187689E-3"/>
    <n v="2.7170288548464387E-3"/>
    <n v="2.4070703833730177E-3"/>
    <n v="2.3653105262015982E-3"/>
    <n v="4.6012277334952102E-3"/>
    <n v="4.8092297000877941E-3"/>
    <n v="264119"/>
    <n v="-26216"/>
    <n v="237903"/>
    <n v="275292"/>
    <n v="-13724"/>
    <n v="261568"/>
    <n v="235352"/>
  </r>
  <r>
    <s v="704-MF"/>
    <n v="704"/>
    <x v="31"/>
    <e v="#N/A"/>
    <n v="3.4433507931749545E-3"/>
    <n v="3.7694252012553599E-3"/>
    <n v="4.1509696470604044E-3"/>
    <n v="3.8464296498186942E-3"/>
    <n v="3.9105151469259764E-3"/>
    <n v="2.0755032899247164E-3"/>
    <n v="2.2086086041869699E-3"/>
    <n v="2.2230236085107225E-3"/>
    <n v="1.719335988123584E-3"/>
    <n v="1.5425938214358248E-3"/>
    <n v="3.4340580624571131E-3"/>
    <n v="3.3831977022578804E-3"/>
    <n v="185848"/>
    <n v="-18488"/>
    <n v="167360"/>
    <n v="199259"/>
    <n v="-4042"/>
    <n v="195217"/>
    <n v="176729"/>
  </r>
  <r>
    <s v="705-MF"/>
    <n v="705"/>
    <x v="32"/>
    <e v="#N/A"/>
    <n v="1.9487165045555688E-3"/>
    <n v="2.0897809650745613E-3"/>
    <n v="2.2160611628301912E-3"/>
    <n v="1.9520196478510906E-3"/>
    <n v="1.915733223402137E-3"/>
    <n v="1.0377516449623582E-3"/>
    <n v="9.6626626433179931E-4"/>
    <n v="8.6450918108750313E-4"/>
    <n v="6.8773439524943362E-4"/>
    <n v="1.1312354690529382E-3"/>
    <n v="1.7445767623033446E-3"/>
    <n v="1.8026835823135518E-3"/>
    <n v="99000"/>
    <n v="-9825"/>
    <n v="89175"/>
    <n v="102337"/>
    <n v="-3162"/>
    <n v="99175"/>
    <n v="89350"/>
  </r>
  <r>
    <s v="706-MF"/>
    <n v="706"/>
    <x v="33"/>
    <e v="#N/A"/>
    <n v="4.2427514328578719E-2"/>
    <n v="4.2262444318076929E-2"/>
    <n v="4.3447657990913394E-2"/>
    <n v="4.3845447858331991E-2"/>
    <n v="4.064789785867122E-2"/>
    <n v="2.8667889192085145E-2"/>
    <n v="3.1334634571902636E-2"/>
    <n v="2.6799784613712598E-2"/>
    <n v="2.6477774217103192E-2"/>
    <n v="2.3344586497728817E-2"/>
    <n v="3.8370429704357868E-2"/>
    <n v="3.9267929857533967E-2"/>
    <n v="2156983"/>
    <n v="-214479"/>
    <n v="1942504"/>
    <n v="2275250"/>
    <n v="-93993"/>
    <n v="2181257"/>
    <n v="1966778"/>
  </r>
  <r>
    <s v="708-MF"/>
    <n v="708"/>
    <x v="34"/>
    <e v="#N/A"/>
    <n v="3.8759971729747742E-3"/>
    <n v="3.1186426343635287E-3"/>
    <n v="4.1210320884717318E-3"/>
    <n v="3.1804477214405239E-3"/>
    <n v="3.0717530350133008E-3"/>
    <n v="2.5943791124058953E-3"/>
    <n v="2.6227227174720267E-3"/>
    <n v="2.4700262316785806E-3"/>
    <n v="2.0632031857483009E-3"/>
    <n v="1.7482729976272681E-3"/>
    <n v="3.1167667458192349E-3"/>
    <n v="3.4195119790822173E-3"/>
    <n v="187839"/>
    <n v="-18683"/>
    <n v="169156"/>
    <n v="184701"/>
    <n v="-7521"/>
    <n v="177180"/>
    <n v="158497"/>
  </r>
  <r>
    <s v="800-DR"/>
    <n v="800"/>
    <x v="35"/>
    <e v="#N/A"/>
    <n v="3.4512451251497212E-3"/>
    <n v="2.8023066155496825E-3"/>
    <n v="3.6931268257145936E-3"/>
    <n v="2.5194428971422908E-3"/>
    <n v="2.5114297366600445E-3"/>
    <n v="2.3349412011653059E-3"/>
    <n v="2.6227227174720267E-3"/>
    <n v="2.0995222969267934E-3"/>
    <n v="1.9485807865400619E-3"/>
    <n v="1.7482729976272681E-3"/>
    <n v="2.6640312049704094E-3"/>
    <n v="3.0747684929005098E-3"/>
    <n v="168908"/>
    <n v="-16806"/>
    <n v="152102"/>
    <n v="162099"/>
    <n v="-10656"/>
    <n v="151443"/>
    <n v="134637"/>
  </r>
  <r>
    <s v="802-FM"/>
    <s v="Excluded"/>
    <x v="1"/>
    <e v="#N/A"/>
    <n v="0"/>
    <n v="0"/>
    <n v="0"/>
    <n v="0"/>
    <n v="0"/>
    <n v="0"/>
    <n v="0"/>
    <n v="0"/>
    <n v="0"/>
    <n v="0"/>
    <n v="0"/>
    <n v="0"/>
    <n v="0"/>
    <n v="0"/>
    <n v="0"/>
    <n v="0"/>
    <n v="0"/>
    <n v="0"/>
    <n v="0"/>
  </r>
  <r>
    <m/>
    <m/>
    <x v="36"/>
    <m/>
    <n v="1"/>
    <n v="0.99999999999999989"/>
    <n v="0.99999999999999967"/>
    <n v="1"/>
    <n v="0.99999999999999967"/>
    <n v="1.0000000000000002"/>
    <n v="1.0000000000000002"/>
    <n v="1"/>
    <n v="0.99999999999999989"/>
    <n v="0.99999999999999989"/>
    <n v="1.0000000000000002"/>
    <n v="1"/>
    <n v="55369235"/>
    <n v="-5514893"/>
    <n v="49854342"/>
    <n v="57992092"/>
    <n v="-1019753"/>
    <n v="56972339"/>
    <n v="51457446"/>
  </r>
  <r>
    <m/>
    <m/>
    <x v="36"/>
    <m/>
    <m/>
    <m/>
    <m/>
    <m/>
    <m/>
    <m/>
    <m/>
    <m/>
    <m/>
    <m/>
    <m/>
    <m/>
    <n v="-0.30418691784143448"/>
    <n v="1.0241869147866964"/>
    <n v="0.7200000062584877"/>
    <n v="4.456803098320961"/>
    <n v="0"/>
    <n v="-1.9846878200769424"/>
    <n v="-0.96050090529024601"/>
  </r>
  <r>
    <m/>
    <m/>
    <x v="36"/>
    <m/>
    <m/>
    <m/>
    <m/>
    <m/>
    <m/>
    <m/>
    <m/>
    <m/>
    <m/>
    <m/>
    <m/>
    <m/>
    <m/>
    <m/>
    <m/>
    <m/>
    <m/>
    <m/>
    <m/>
  </r>
  <r>
    <m/>
    <m/>
    <x v="36"/>
    <m/>
    <m/>
    <m/>
    <m/>
    <m/>
    <m/>
    <m/>
    <m/>
    <m/>
    <m/>
    <m/>
    <m/>
    <m/>
    <m/>
    <m/>
    <m/>
    <m/>
    <m/>
    <m/>
    <m/>
  </r>
  <r>
    <m/>
    <m/>
    <x v="36"/>
    <m/>
    <m/>
    <m/>
    <m/>
    <m/>
    <m/>
    <m/>
    <m/>
    <m/>
    <m/>
    <m/>
    <m/>
    <m/>
    <m/>
    <m/>
    <m/>
    <n v="57992087.543196902"/>
    <m/>
    <m/>
    <m/>
  </r>
  <r>
    <m/>
    <m/>
    <x v="36"/>
    <m/>
    <m/>
    <m/>
    <m/>
    <m/>
    <m/>
    <m/>
    <m/>
    <m/>
    <m/>
    <m/>
    <m/>
    <m/>
    <m/>
    <m/>
    <m/>
    <m/>
    <m/>
    <m/>
    <m/>
  </r>
  <r>
    <m/>
    <m/>
    <x v="36"/>
    <m/>
    <m/>
    <m/>
    <m/>
    <m/>
    <m/>
    <m/>
    <m/>
    <m/>
    <m/>
    <m/>
    <m/>
    <m/>
    <m/>
    <m/>
    <m/>
    <m/>
    <m/>
    <m/>
    <m/>
  </r>
  <r>
    <m/>
    <m/>
    <x v="36"/>
    <m/>
    <m/>
    <m/>
    <m/>
    <m/>
    <m/>
    <m/>
    <m/>
    <m/>
    <m/>
    <m/>
    <m/>
    <m/>
    <m/>
    <m/>
    <m/>
    <m/>
    <m/>
    <m/>
    <m/>
  </r>
  <r>
    <m/>
    <m/>
    <x v="36"/>
    <m/>
    <m/>
    <m/>
    <m/>
    <m/>
    <m/>
    <m/>
    <m/>
    <m/>
    <m/>
    <m/>
    <m/>
    <m/>
    <m/>
    <m/>
    <m/>
    <m/>
    <m/>
    <m/>
    <m/>
  </r>
  <r>
    <m/>
    <m/>
    <x v="36"/>
    <m/>
    <m/>
    <m/>
    <m/>
    <m/>
    <m/>
    <m/>
    <m/>
    <m/>
    <m/>
    <m/>
    <m/>
    <m/>
    <m/>
    <m/>
    <m/>
    <m/>
    <m/>
    <m/>
    <m/>
  </r>
  <r>
    <m/>
    <m/>
    <x v="36"/>
    <m/>
    <m/>
    <m/>
    <m/>
    <m/>
    <m/>
    <m/>
    <m/>
    <m/>
    <m/>
    <m/>
    <m/>
    <m/>
    <m/>
    <m/>
    <m/>
    <m/>
    <m/>
    <m/>
    <m/>
  </r>
  <r>
    <m/>
    <m/>
    <x v="36"/>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 " updatedVersion="6" minRefreshableVersion="3" showCalcMbrs="0" useAutoFormatting="1" itemPrintTitles="1" createdVersion="3" indent="0" outline="1" outlineData="1" multipleFieldFilters="0" rowHeaderCaption="Fund">
  <location ref="A3:F40" firstHeaderRow="1" firstDataRow="2" firstDataCol="1"/>
  <pivotFields count="24">
    <pivotField showAll="0"/>
    <pivotField showAll="0"/>
    <pivotField axis="axisRow" showAll="0" sortType="ascending">
      <items count="43">
        <item x="0"/>
        <item x="3"/>
        <item m="1" x="40"/>
        <item x="4"/>
        <item x="5"/>
        <item x="6"/>
        <item m="1" x="41"/>
        <item x="7"/>
        <item x="8"/>
        <item x="9"/>
        <item x="10"/>
        <item x="11"/>
        <item x="14"/>
        <item m="1" x="37"/>
        <item x="15"/>
        <item x="16"/>
        <item x="17"/>
        <item x="18"/>
        <item x="19"/>
        <item m="1" x="38"/>
        <item x="12"/>
        <item x="20"/>
        <item x="13"/>
        <item x="21"/>
        <item x="22"/>
        <item x="23"/>
        <item x="24"/>
        <item x="25"/>
        <item x="26"/>
        <item x="27"/>
        <item x="28"/>
        <item x="29"/>
        <item x="30"/>
        <item x="31"/>
        <item x="32"/>
        <item x="33"/>
        <item x="34"/>
        <item x="35"/>
        <item m="1" x="39"/>
        <item x="2"/>
        <item h="1" x="1"/>
        <item h="1" x="36"/>
        <item t="default"/>
      </items>
    </pivotField>
    <pivotField showAll="0"/>
    <pivotField showAll="0" defaultSubtotal="0"/>
    <pivotField showAll="0" defaultSubtotal="0"/>
    <pivotField showAll="0" defaultSubtotal="0"/>
    <pivotField showAll="0"/>
    <pivotField showAll="0"/>
    <pivotField showAll="0" defaultSubtotal="0"/>
    <pivotField showAll="0" defaultSubtotal="0"/>
    <pivotField showAll="0" defaultSubtotal="0"/>
    <pivotField showAll="0"/>
    <pivotField showAll="0"/>
    <pivotField showAll="0"/>
    <pivotField showAll="0"/>
    <pivotField showAll="0" defaultSubtotal="0"/>
    <pivotField dataField="1" showAll="0"/>
    <pivotField showAll="0"/>
    <pivotField dataField="1" showAll="0"/>
    <pivotField dataField="1" showAll="0" defaultSubtotal="0"/>
    <pivotField dataField="1" showAll="0"/>
    <pivotField dataField="1" showAll="0"/>
    <pivotField dragToRow="0" dragToCol="0" dragToPage="0" showAll="0" defaultSubtotal="0"/>
  </pivotFields>
  <rowFields count="1">
    <field x="2"/>
  </rowFields>
  <rowItems count="36">
    <i>
      <x/>
    </i>
    <i>
      <x v="1"/>
    </i>
    <i>
      <x v="3"/>
    </i>
    <i>
      <x v="4"/>
    </i>
    <i>
      <x v="5"/>
    </i>
    <i>
      <x v="7"/>
    </i>
    <i>
      <x v="8"/>
    </i>
    <i>
      <x v="9"/>
    </i>
    <i>
      <x v="10"/>
    </i>
    <i>
      <x v="11"/>
    </i>
    <i>
      <x v="12"/>
    </i>
    <i>
      <x v="14"/>
    </i>
    <i>
      <x v="15"/>
    </i>
    <i>
      <x v="16"/>
    </i>
    <i>
      <x v="17"/>
    </i>
    <i>
      <x v="18"/>
    </i>
    <i>
      <x v="20"/>
    </i>
    <i>
      <x v="21"/>
    </i>
    <i>
      <x v="22"/>
    </i>
    <i>
      <x v="23"/>
    </i>
    <i>
      <x v="24"/>
    </i>
    <i>
      <x v="25"/>
    </i>
    <i>
      <x v="26"/>
    </i>
    <i>
      <x v="27"/>
    </i>
    <i>
      <x v="28"/>
    </i>
    <i>
      <x v="29"/>
    </i>
    <i>
      <x v="30"/>
    </i>
    <i>
      <x v="31"/>
    </i>
    <i>
      <x v="32"/>
    </i>
    <i>
      <x v="33"/>
    </i>
    <i>
      <x v="34"/>
    </i>
    <i>
      <x v="35"/>
    </i>
    <i>
      <x v="36"/>
    </i>
    <i>
      <x v="37"/>
    </i>
    <i>
      <x v="39"/>
    </i>
    <i t="grand">
      <x/>
    </i>
  </rowItems>
  <colFields count="1">
    <field x="-2"/>
  </colFields>
  <colItems count="5">
    <i>
      <x/>
    </i>
    <i i="1">
      <x v="1"/>
    </i>
    <i i="2">
      <x v="2"/>
    </i>
    <i i="3">
      <x v="3"/>
    </i>
    <i i="4">
      <x v="4"/>
    </i>
  </colItems>
  <dataFields count="5">
    <dataField name="Sum of FY 2018-19 CAL Charge" fld="19" baseField="2" baseItem="7"/>
    <dataField name="Sum of Difference" fld="20" baseField="0" baseItem="0"/>
    <dataField name="Sum of FY 2019-20 CAL Charge" fld="21" baseField="0" baseItem="0"/>
    <dataField name="Sum of FY 2017-18 True-Up" fld="17" baseField="0" baseItem="0"/>
    <dataField name="Sum of FY 2019-20 with True-Up" fld="22" baseField="0" baseItem="0"/>
  </dataFields>
  <formats count="7">
    <format dxfId="6">
      <pivotArea outline="0" collapsedLevelsAreSubtotals="1" fieldPosition="0"/>
    </format>
    <format dxfId="5">
      <pivotArea field="-2" type="button" dataOnly="0" labelOnly="1" outline="0" axis="axisCol" fieldPosition="0"/>
    </format>
    <format dxfId="4">
      <pivotArea type="topRight" dataOnly="0" labelOnly="1" outline="0" fieldPosition="0"/>
    </format>
    <format dxfId="3">
      <pivotArea field="2" type="button" dataOnly="0" labelOnly="1" outline="0" axis="axisRow" fieldPosition="0"/>
    </format>
    <format dxfId="2">
      <pivotArea dataOnly="0" labelOnly="1" outline="0" fieldPosition="0">
        <references count="1">
          <reference field="4294967294" count="1">
            <x v="0"/>
          </reference>
        </references>
      </pivotArea>
    </format>
    <format dxfId="1">
      <pivotArea dataOnly="0" labelOnly="1" outline="0" fieldPosition="0">
        <references count="1">
          <reference field="4294967294" count="2">
            <x v="2"/>
            <x v="4"/>
          </reference>
        </references>
      </pivotArea>
    </format>
    <format dxfId="0">
      <pivotArea dataOnly="0" labelOnly="1" outline="0" fieldPosition="0">
        <references count="1">
          <reference field="4294967294" count="1">
            <x v="3"/>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workbookViewId="0">
      <selection activeCell="S18" sqref="S18"/>
    </sheetView>
  </sheetViews>
  <sheetFormatPr defaultRowHeight="12.75" x14ac:dyDescent="0.2"/>
  <cols>
    <col min="2" max="2" width="13" customWidth="1"/>
    <col min="3" max="3" width="14.7109375" customWidth="1"/>
    <col min="4" max="4" width="13.42578125" customWidth="1"/>
    <col min="6" max="6" width="11.42578125" bestFit="1" customWidth="1"/>
  </cols>
  <sheetData>
    <row r="1" spans="1:4" s="32" customFormat="1" x14ac:dyDescent="0.2"/>
    <row r="2" spans="1:4" s="32" customFormat="1" x14ac:dyDescent="0.2">
      <c r="A2" s="100" t="s">
        <v>150</v>
      </c>
      <c r="B2" s="100" t="s">
        <v>438</v>
      </c>
      <c r="C2" s="100" t="s">
        <v>439</v>
      </c>
      <c r="D2" s="100" t="s">
        <v>331</v>
      </c>
    </row>
    <row r="3" spans="1:4" x14ac:dyDescent="0.2">
      <c r="A3" s="32" t="s">
        <v>161</v>
      </c>
      <c r="B3" s="9">
        <f>D3-C3</f>
        <v>3105153</v>
      </c>
      <c r="C3" s="9">
        <f>ROUND((D3*'Requested #s'!$D$42),0)</f>
        <v>3531563</v>
      </c>
      <c r="D3" s="28">
        <f>VLOOKUP(A3,Cost_Pool,6,FALSE)</f>
        <v>6636716</v>
      </c>
    </row>
    <row r="4" spans="1:4" x14ac:dyDescent="0.2">
      <c r="A4" s="32" t="s">
        <v>162</v>
      </c>
      <c r="B4" s="9">
        <f t="shared" ref="B4:B18" si="0">D4-C4</f>
        <v>4006653.1499999985</v>
      </c>
      <c r="C4" s="9">
        <f>ROUND((D4*'Requested #s'!$D$42),0)</f>
        <v>4556859</v>
      </c>
      <c r="D4" s="28">
        <f t="shared" ref="D4:D18" si="1">VLOOKUP(A4,Cost_Pool,6,FALSE)</f>
        <v>8563512.1499999985</v>
      </c>
    </row>
    <row r="5" spans="1:4" x14ac:dyDescent="0.2">
      <c r="A5" s="33" t="s">
        <v>342</v>
      </c>
      <c r="B5" s="9">
        <f t="shared" si="0"/>
        <v>1159084</v>
      </c>
      <c r="C5" s="9">
        <f>ROUND((D5*'Requested #s'!$D$42),0)</f>
        <v>1318253</v>
      </c>
      <c r="D5" s="28">
        <f t="shared" si="1"/>
        <v>2477337</v>
      </c>
    </row>
    <row r="6" spans="1:4" x14ac:dyDescent="0.2">
      <c r="A6" s="32" t="s">
        <v>164</v>
      </c>
      <c r="B6" s="9">
        <f t="shared" si="0"/>
        <v>1674133</v>
      </c>
      <c r="C6" s="9">
        <f>ROUND((D6*'Requested #s'!$D$42),0)</f>
        <v>1904031</v>
      </c>
      <c r="D6" s="28">
        <f t="shared" si="1"/>
        <v>3578164</v>
      </c>
    </row>
    <row r="7" spans="1:4" x14ac:dyDescent="0.2">
      <c r="A7" s="32" t="s">
        <v>165</v>
      </c>
      <c r="B7" s="9">
        <f t="shared" si="0"/>
        <v>64246.125</v>
      </c>
      <c r="C7" s="9">
        <f>ROUND((D7*'Requested #s'!$D$42),0)</f>
        <v>73068</v>
      </c>
      <c r="D7" s="28">
        <f t="shared" si="1"/>
        <v>137314.125</v>
      </c>
    </row>
    <row r="8" spans="1:4" x14ac:dyDescent="0.2">
      <c r="A8" s="32" t="s">
        <v>157</v>
      </c>
      <c r="B8" s="9">
        <f t="shared" si="0"/>
        <v>849703</v>
      </c>
      <c r="C8" s="9">
        <f>ROUND((D8*'Requested #s'!$D$42),0)</f>
        <v>966387</v>
      </c>
      <c r="D8" s="28">
        <f t="shared" si="1"/>
        <v>1816090</v>
      </c>
    </row>
    <row r="9" spans="1:4" x14ac:dyDescent="0.2">
      <c r="A9" s="32" t="s">
        <v>159</v>
      </c>
      <c r="B9" s="9">
        <f t="shared" si="0"/>
        <v>10006556.64468782</v>
      </c>
      <c r="C9" s="9">
        <f>ROUND((D9*'Requested #s'!$D$42),0)</f>
        <v>11380687</v>
      </c>
      <c r="D9" s="28">
        <f t="shared" si="1"/>
        <v>21387243.64468782</v>
      </c>
    </row>
    <row r="10" spans="1:4" x14ac:dyDescent="0.2">
      <c r="A10" s="32" t="s">
        <v>163</v>
      </c>
      <c r="B10" s="9">
        <f t="shared" si="0"/>
        <v>1705291.5499999998</v>
      </c>
      <c r="C10" s="9">
        <f>ROUND((D10*'Requested #s'!$D$42),0)</f>
        <v>1939467</v>
      </c>
      <c r="D10" s="28">
        <f t="shared" si="1"/>
        <v>3644758.55</v>
      </c>
    </row>
    <row r="11" spans="1:4" x14ac:dyDescent="0.2">
      <c r="A11" s="32" t="s">
        <v>160</v>
      </c>
      <c r="B11" s="9">
        <f t="shared" si="0"/>
        <v>342857.07499999995</v>
      </c>
      <c r="C11" s="9">
        <f>ROUND((D11*'Requested #s'!$D$42),0)</f>
        <v>389939</v>
      </c>
      <c r="D11" s="28">
        <f t="shared" si="1"/>
        <v>732796.07499999995</v>
      </c>
    </row>
    <row r="12" spans="1:4" x14ac:dyDescent="0.2">
      <c r="A12" s="32" t="s">
        <v>316</v>
      </c>
      <c r="B12" s="9">
        <f t="shared" si="0"/>
        <v>611772.16500000004</v>
      </c>
      <c r="C12" s="9">
        <f>ROUND((D12*'Requested #s'!$D$42),0)</f>
        <v>695782</v>
      </c>
      <c r="D12" s="28">
        <f t="shared" si="1"/>
        <v>1307554.165</v>
      </c>
    </row>
    <row r="13" spans="1:4" x14ac:dyDescent="0.2">
      <c r="A13" s="32" t="s">
        <v>152</v>
      </c>
      <c r="B13" s="9">
        <f t="shared" si="0"/>
        <v>575147</v>
      </c>
      <c r="C13" s="9">
        <f>ROUND((D13*'Requested #s'!$D$42),0)</f>
        <v>654127</v>
      </c>
      <c r="D13" s="28">
        <f t="shared" si="1"/>
        <v>1229274</v>
      </c>
    </row>
    <row r="14" spans="1:4" x14ac:dyDescent="0.2">
      <c r="A14" s="32" t="s">
        <v>151</v>
      </c>
      <c r="B14" s="9">
        <f t="shared" si="0"/>
        <v>670677.27499999991</v>
      </c>
      <c r="C14" s="9">
        <f>ROUND((D14*'Requested #s'!$D$42),0)</f>
        <v>762776</v>
      </c>
      <c r="D14" s="28">
        <f t="shared" si="1"/>
        <v>1433453.2749999999</v>
      </c>
    </row>
    <row r="15" spans="1:4" x14ac:dyDescent="0.2">
      <c r="A15" s="32" t="s">
        <v>153</v>
      </c>
      <c r="B15" s="9">
        <f t="shared" si="0"/>
        <v>575147</v>
      </c>
      <c r="C15" s="9">
        <f>ROUND((D15*'Requested #s'!$D$42),0)</f>
        <v>654127</v>
      </c>
      <c r="D15" s="28">
        <f t="shared" si="1"/>
        <v>1229274</v>
      </c>
    </row>
    <row r="16" spans="1:4" x14ac:dyDescent="0.2">
      <c r="A16" s="32" t="s">
        <v>154</v>
      </c>
      <c r="B16" s="9">
        <f t="shared" si="0"/>
        <v>575147</v>
      </c>
      <c r="C16" s="9">
        <f>ROUND((D16*'Requested #s'!$D$42),0)</f>
        <v>654127</v>
      </c>
      <c r="D16" s="28">
        <f t="shared" si="1"/>
        <v>1229274</v>
      </c>
    </row>
    <row r="17" spans="1:4" x14ac:dyDescent="0.2">
      <c r="A17" s="32" t="s">
        <v>155</v>
      </c>
      <c r="B17" s="9">
        <f t="shared" si="0"/>
        <v>575147</v>
      </c>
      <c r="C17" s="9">
        <f>ROUND((D17*'Requested #s'!$D$42),0)</f>
        <v>654127</v>
      </c>
      <c r="D17" s="28">
        <f t="shared" si="1"/>
        <v>1229274</v>
      </c>
    </row>
    <row r="18" spans="1:4" x14ac:dyDescent="0.2">
      <c r="A18" s="72" t="s">
        <v>169</v>
      </c>
      <c r="B18" s="9">
        <f t="shared" si="0"/>
        <v>159221</v>
      </c>
      <c r="C18" s="9">
        <f>ROUND((D18*'Requested #s'!$D$42),0)</f>
        <v>181085</v>
      </c>
      <c r="D18" s="28">
        <f t="shared" si="1"/>
        <v>340306</v>
      </c>
    </row>
    <row r="19" spans="1:4" ht="13.5" thickBot="1" x14ac:dyDescent="0.25">
      <c r="A19" s="97" t="s">
        <v>331</v>
      </c>
      <c r="B19" s="98">
        <f>SUM(B3:B18)</f>
        <v>26655935.984687816</v>
      </c>
      <c r="C19" s="98">
        <f t="shared" ref="C19:D19" si="2">SUM(C3:C18)</f>
        <v>30316405</v>
      </c>
      <c r="D19" s="98">
        <f t="shared" si="2"/>
        <v>56972340.98468782</v>
      </c>
    </row>
    <row r="20" spans="1:4" ht="13.5" thickTop="1" x14ac:dyDescent="0.2">
      <c r="B20" s="107" t="s">
        <v>433</v>
      </c>
      <c r="C20" s="162">
        <f>C19/D19</f>
        <v>0.53212496583470204</v>
      </c>
      <c r="D20" s="163">
        <f>1-C20</f>
        <v>0.46787503416529796</v>
      </c>
    </row>
    <row r="21" spans="1:4" x14ac:dyDescent="0.2">
      <c r="B21" s="36" t="s">
        <v>440</v>
      </c>
      <c r="C21" s="9">
        <f>C19-SUM('Requested #s'!F6:F39)</f>
        <v>2941613</v>
      </c>
    </row>
    <row r="22" spans="1:4" x14ac:dyDescent="0.2">
      <c r="B22" s="33" t="s">
        <v>495</v>
      </c>
      <c r="C22" s="99">
        <v>0.54262999999999995</v>
      </c>
    </row>
    <row r="23" spans="1:4" x14ac:dyDescent="0.2">
      <c r="B23" s="33" t="s">
        <v>403</v>
      </c>
      <c r="C23" s="118">
        <f>C22-C20</f>
        <v>1.0505034165297911E-2</v>
      </c>
    </row>
    <row r="27" spans="1:4" x14ac:dyDescent="0.2">
      <c r="B27" s="144">
        <f>'Cost Pool'!H20*'#s for Economist'!C23</f>
        <v>0</v>
      </c>
    </row>
  </sheetData>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1"/>
  <sheetViews>
    <sheetView workbookViewId="0">
      <selection activeCell="H102" sqref="H102"/>
    </sheetView>
  </sheetViews>
  <sheetFormatPr defaultColWidth="8.7109375" defaultRowHeight="12.75" x14ac:dyDescent="0.2"/>
  <cols>
    <col min="1" max="1" width="11.5703125" style="32" bestFit="1" customWidth="1"/>
    <col min="2" max="3" width="15.28515625" style="34" bestFit="1" customWidth="1"/>
    <col min="4" max="4" width="12.42578125" style="34" bestFit="1" customWidth="1"/>
    <col min="5" max="5" width="12.28515625" style="34" bestFit="1" customWidth="1"/>
    <col min="6" max="6" width="13.28515625" style="34" bestFit="1" customWidth="1"/>
    <col min="7" max="7" width="13.7109375" style="34" bestFit="1" customWidth="1"/>
    <col min="8" max="8" width="13.28515625" style="34" bestFit="1" customWidth="1"/>
    <col min="9" max="9" width="12.42578125" style="32" bestFit="1" customWidth="1"/>
    <col min="10" max="10" width="9.28515625" style="35" bestFit="1" customWidth="1"/>
    <col min="11" max="11" width="6.7109375" style="32" bestFit="1" customWidth="1"/>
    <col min="12" max="12" width="65.7109375" style="32" bestFit="1" customWidth="1"/>
    <col min="13" max="16384" width="8.7109375" style="32"/>
  </cols>
  <sheetData>
    <row r="1" spans="1:12" ht="38.25" x14ac:dyDescent="0.2">
      <c r="A1" s="32" t="s">
        <v>226</v>
      </c>
      <c r="B1" s="23" t="s">
        <v>0</v>
      </c>
      <c r="C1" s="23" t="s">
        <v>1</v>
      </c>
      <c r="D1" s="8" t="s">
        <v>331</v>
      </c>
      <c r="E1" s="7" t="s">
        <v>330</v>
      </c>
      <c r="F1" s="7" t="s">
        <v>332</v>
      </c>
      <c r="G1" s="7" t="s">
        <v>333</v>
      </c>
      <c r="H1" s="7" t="s">
        <v>341</v>
      </c>
      <c r="I1" s="5" t="s">
        <v>334</v>
      </c>
      <c r="J1" s="13" t="s">
        <v>340</v>
      </c>
      <c r="K1" s="5" t="s">
        <v>338</v>
      </c>
      <c r="L1" s="5" t="s">
        <v>343</v>
      </c>
    </row>
    <row r="2" spans="1:12" x14ac:dyDescent="0.2">
      <c r="A2" s="32" t="s">
        <v>161</v>
      </c>
      <c r="B2" s="34">
        <v>8238567</v>
      </c>
      <c r="C2" s="34">
        <v>0</v>
      </c>
      <c r="D2" s="34">
        <f t="shared" ref="D2:D32" si="0">SUM(B2:C2)</f>
        <v>8238567</v>
      </c>
      <c r="E2" s="34">
        <f t="shared" ref="E2:E32" si="1">C2*-0.5</f>
        <v>0</v>
      </c>
      <c r="H2" s="34">
        <f>-D2-E2-F2-G2</f>
        <v>-8238567</v>
      </c>
      <c r="I2" s="9">
        <f t="shared" ref="I2:I67" si="2">IF((VLOOKUP(A2,Crosswalk,2,FALSE)="Excluded"),0,(D2+E2+F2+G2+H2))</f>
        <v>0</v>
      </c>
      <c r="J2" s="40">
        <f>I2/(SUM($I$2:$I$81))</f>
        <v>0</v>
      </c>
      <c r="K2" s="32" t="str">
        <f t="shared" ref="K2:K32" si="3">IF(VLOOKUP(A2,Model,2,FALSE)&lt;&gt;"","Yes","No")</f>
        <v>Yes</v>
      </c>
      <c r="L2" s="32" t="str">
        <f t="shared" ref="L2:L32" si="4">IF((VLOOKUP(A2,Crosswalk,3,FALSE))=0," ",(VLOOKUP(A2,Crosswalk,3,FALSE)))</f>
        <v>100% Overhead</v>
      </c>
    </row>
    <row r="3" spans="1:12" x14ac:dyDescent="0.2">
      <c r="A3" s="32" t="s">
        <v>162</v>
      </c>
      <c r="B3" s="34">
        <v>6184076</v>
      </c>
      <c r="C3" s="34">
        <v>5481</v>
      </c>
      <c r="D3" s="34">
        <f t="shared" si="0"/>
        <v>6189557</v>
      </c>
      <c r="E3" s="34">
        <f t="shared" si="1"/>
        <v>-2740.5</v>
      </c>
      <c r="H3" s="34">
        <f>-D3-E3-F3-G3</f>
        <v>-6186816.5</v>
      </c>
      <c r="I3" s="9">
        <f t="shared" si="2"/>
        <v>0</v>
      </c>
      <c r="J3" s="40">
        <f t="shared" ref="J3:J68" si="5">I3/(SUM($I$2:$I$81))</f>
        <v>0</v>
      </c>
      <c r="K3" s="32" t="str">
        <f t="shared" si="3"/>
        <v>Yes</v>
      </c>
      <c r="L3" s="32" t="str">
        <f t="shared" si="4"/>
        <v>Exclude IPR starting in FY 2017-18 actuals</v>
      </c>
    </row>
    <row r="4" spans="1:12" x14ac:dyDescent="0.2">
      <c r="A4" s="32" t="s">
        <v>342</v>
      </c>
      <c r="B4" s="34">
        <v>470828</v>
      </c>
      <c r="C4" s="34">
        <v>0</v>
      </c>
      <c r="D4" s="34">
        <f t="shared" si="0"/>
        <v>470828</v>
      </c>
      <c r="E4" s="34">
        <f t="shared" si="1"/>
        <v>0</v>
      </c>
      <c r="H4" s="34">
        <f>-D4-E4-F4-G4</f>
        <v>-470828</v>
      </c>
      <c r="I4" s="9">
        <f t="shared" si="2"/>
        <v>0</v>
      </c>
      <c r="J4" s="40">
        <f t="shared" si="5"/>
        <v>0</v>
      </c>
      <c r="K4" s="32" t="str">
        <f t="shared" si="3"/>
        <v>Yes</v>
      </c>
      <c r="L4" s="32" t="str">
        <f t="shared" si="4"/>
        <v>100% Overhead</v>
      </c>
    </row>
    <row r="5" spans="1:12" x14ac:dyDescent="0.2">
      <c r="A5" s="32" t="s">
        <v>164</v>
      </c>
      <c r="B5" s="34">
        <v>1207752</v>
      </c>
      <c r="C5" s="34">
        <v>0</v>
      </c>
      <c r="D5" s="34">
        <f t="shared" si="0"/>
        <v>1207752</v>
      </c>
      <c r="E5" s="34">
        <f t="shared" si="1"/>
        <v>0</v>
      </c>
      <c r="H5" s="34">
        <f>-D5-E5-F5-G5</f>
        <v>-1207752</v>
      </c>
      <c r="I5" s="9">
        <f t="shared" si="2"/>
        <v>0</v>
      </c>
      <c r="J5" s="40">
        <f t="shared" si="5"/>
        <v>0</v>
      </c>
      <c r="K5" s="32" t="str">
        <f t="shared" si="3"/>
        <v>Yes</v>
      </c>
      <c r="L5" s="32" t="str">
        <f t="shared" si="4"/>
        <v>100% Overhead</v>
      </c>
    </row>
    <row r="6" spans="1:12" x14ac:dyDescent="0.2">
      <c r="A6" s="32" t="s">
        <v>399</v>
      </c>
      <c r="B6" s="34">
        <v>906846</v>
      </c>
      <c r="C6" s="34">
        <v>0</v>
      </c>
      <c r="D6" s="34">
        <f t="shared" si="0"/>
        <v>906846</v>
      </c>
      <c r="E6" s="34">
        <f t="shared" si="1"/>
        <v>0</v>
      </c>
      <c r="G6" s="34">
        <v>-906846</v>
      </c>
      <c r="I6" s="9">
        <f t="shared" si="2"/>
        <v>0</v>
      </c>
      <c r="J6" s="40">
        <f t="shared" si="5"/>
        <v>0</v>
      </c>
      <c r="K6" s="32" t="str">
        <f t="shared" si="3"/>
        <v>Yes</v>
      </c>
      <c r="L6" s="32" t="str">
        <f t="shared" si="4"/>
        <v xml:space="preserve"> </v>
      </c>
    </row>
    <row r="7" spans="1:12" x14ac:dyDescent="0.2">
      <c r="A7" s="32" t="s">
        <v>165</v>
      </c>
      <c r="B7" s="34">
        <v>89121603</v>
      </c>
      <c r="C7" s="34">
        <v>1068872</v>
      </c>
      <c r="D7" s="34">
        <f t="shared" si="0"/>
        <v>90190475</v>
      </c>
      <c r="E7" s="34">
        <f t="shared" si="1"/>
        <v>-534436</v>
      </c>
      <c r="H7" s="34">
        <v>-118183</v>
      </c>
      <c r="I7" s="9">
        <f t="shared" si="2"/>
        <v>89537856</v>
      </c>
      <c r="J7" s="40">
        <f t="shared" si="5"/>
        <v>9.5644123460313854E-2</v>
      </c>
      <c r="K7" s="32" t="str">
        <f t="shared" si="3"/>
        <v>Yes</v>
      </c>
      <c r="L7" s="32" t="str">
        <f t="shared" si="4"/>
        <v>Exclude expenditures for emergency mgmt (FREO000004 Fund Center)</v>
      </c>
    </row>
    <row r="8" spans="1:12" x14ac:dyDescent="0.2">
      <c r="A8" s="32" t="s">
        <v>157</v>
      </c>
      <c r="B8" s="34">
        <v>1092964</v>
      </c>
      <c r="C8" s="34">
        <v>0</v>
      </c>
      <c r="D8" s="34">
        <f t="shared" si="0"/>
        <v>1092964</v>
      </c>
      <c r="E8" s="34">
        <f t="shared" si="1"/>
        <v>0</v>
      </c>
      <c r="H8" s="34">
        <f>-D8-E8-F8-G8</f>
        <v>-1092964</v>
      </c>
      <c r="I8" s="9">
        <f t="shared" si="2"/>
        <v>0</v>
      </c>
      <c r="J8" s="40">
        <f t="shared" si="5"/>
        <v>0</v>
      </c>
      <c r="K8" s="32" t="str">
        <f t="shared" si="3"/>
        <v>Yes</v>
      </c>
      <c r="L8" s="32" t="str">
        <f t="shared" si="4"/>
        <v>100% Overhead</v>
      </c>
    </row>
    <row r="9" spans="1:12" x14ac:dyDescent="0.2">
      <c r="A9" s="32" t="s">
        <v>166</v>
      </c>
      <c r="B9" s="34">
        <v>11079891</v>
      </c>
      <c r="C9" s="34">
        <v>0</v>
      </c>
      <c r="D9" s="34">
        <f t="shared" si="0"/>
        <v>11079891</v>
      </c>
      <c r="E9" s="34">
        <f t="shared" si="1"/>
        <v>0</v>
      </c>
      <c r="H9" s="28"/>
      <c r="I9" s="9">
        <f t="shared" si="2"/>
        <v>11079891</v>
      </c>
      <c r="J9" s="40">
        <f t="shared" si="5"/>
        <v>1.1835513045239996E-2</v>
      </c>
      <c r="K9" s="32" t="str">
        <f t="shared" si="3"/>
        <v>Yes</v>
      </c>
      <c r="L9" s="32" t="str">
        <f t="shared" si="4"/>
        <v xml:space="preserve"> </v>
      </c>
    </row>
    <row r="10" spans="1:12" x14ac:dyDescent="0.2">
      <c r="A10" s="32" t="s">
        <v>158</v>
      </c>
      <c r="B10" s="34">
        <v>0</v>
      </c>
      <c r="C10" s="34">
        <v>0</v>
      </c>
      <c r="D10" s="34">
        <f t="shared" si="0"/>
        <v>0</v>
      </c>
      <c r="E10" s="34">
        <f t="shared" si="1"/>
        <v>0</v>
      </c>
      <c r="H10" s="28"/>
      <c r="I10" s="9">
        <f t="shared" si="2"/>
        <v>0</v>
      </c>
      <c r="J10" s="40">
        <f t="shared" si="5"/>
        <v>0</v>
      </c>
      <c r="K10" s="32" t="str">
        <f t="shared" si="3"/>
        <v>Yes</v>
      </c>
      <c r="L10" s="32" t="str">
        <f t="shared" si="4"/>
        <v xml:space="preserve"> </v>
      </c>
    </row>
    <row r="11" spans="1:12" x14ac:dyDescent="0.2">
      <c r="A11" s="32" t="s">
        <v>159</v>
      </c>
      <c r="B11" s="34">
        <v>31368749</v>
      </c>
      <c r="C11" s="34">
        <v>525548</v>
      </c>
      <c r="D11" s="34">
        <f t="shared" si="0"/>
        <v>31894297</v>
      </c>
      <c r="E11" s="28">
        <f t="shared" si="1"/>
        <v>-262774</v>
      </c>
      <c r="G11" s="28">
        <v>-3864</v>
      </c>
      <c r="H11" s="28">
        <v>-20909268</v>
      </c>
      <c r="I11" s="9">
        <f t="shared" si="2"/>
        <v>10718391</v>
      </c>
      <c r="J11" s="40">
        <f t="shared" si="5"/>
        <v>1.1449359610530733E-2</v>
      </c>
      <c r="K11" s="32" t="str">
        <f t="shared" si="3"/>
        <v>Yes</v>
      </c>
      <c r="L11" s="32" t="str">
        <f t="shared" si="4"/>
        <v>Exclude MFHR, MFDR, MFPU, MFOP, and MFFS cost centers. Beginning FY 18-19 need to also adjust for MFRB000002 functional area LACROPBAAR (accounts receiveable)</v>
      </c>
    </row>
    <row r="12" spans="1:12" x14ac:dyDescent="0.2">
      <c r="A12" s="32" t="s">
        <v>163</v>
      </c>
      <c r="B12" s="34">
        <v>3666450</v>
      </c>
      <c r="C12" s="34">
        <v>0</v>
      </c>
      <c r="D12" s="34">
        <f t="shared" si="0"/>
        <v>3666450</v>
      </c>
      <c r="E12" s="34">
        <f t="shared" si="1"/>
        <v>0</v>
      </c>
      <c r="H12" s="28">
        <v>-2154777</v>
      </c>
      <c r="I12" s="9">
        <f t="shared" si="2"/>
        <v>1511673</v>
      </c>
      <c r="J12" s="40">
        <f t="shared" si="5"/>
        <v>1.6147654802413742E-3</v>
      </c>
      <c r="K12" s="32" t="str">
        <f t="shared" si="3"/>
        <v>Yes</v>
      </c>
      <c r="L12" s="32" t="str">
        <f t="shared" si="4"/>
        <v>Exclude expenditures for Admin &amp; Support (LAMYAS Functional Area), include only OYVP for positions</v>
      </c>
    </row>
    <row r="13" spans="1:12" x14ac:dyDescent="0.2">
      <c r="A13" s="32" t="s">
        <v>160</v>
      </c>
      <c r="B13" s="34">
        <v>6390015</v>
      </c>
      <c r="C13" s="34">
        <v>20627</v>
      </c>
      <c r="D13" s="34">
        <f t="shared" si="0"/>
        <v>6410642</v>
      </c>
      <c r="E13" s="34">
        <f t="shared" si="1"/>
        <v>-10313.5</v>
      </c>
      <c r="H13" s="28">
        <v>-541927</v>
      </c>
      <c r="I13" s="9">
        <f t="shared" si="2"/>
        <v>5858401.5</v>
      </c>
      <c r="J13" s="40">
        <f t="shared" si="5"/>
        <v>6.2579304595598963E-3</v>
      </c>
      <c r="K13" s="32" t="str">
        <f t="shared" si="3"/>
        <v>Yes</v>
      </c>
      <c r="L13" s="32" t="str">
        <f t="shared" si="4"/>
        <v>Exclude expenditures for Information &amp; Referral and Public Involvement best practices (CDIR - Info &amp; Rfrrl org unit for positions, CDNRNOPI - no positions)</v>
      </c>
    </row>
    <row r="14" spans="1:12" x14ac:dyDescent="0.2">
      <c r="A14" s="32" t="s">
        <v>316</v>
      </c>
      <c r="B14" s="34">
        <v>1026019</v>
      </c>
      <c r="C14" s="34">
        <v>0</v>
      </c>
      <c r="D14" s="34">
        <f t="shared" si="0"/>
        <v>1026019</v>
      </c>
      <c r="E14" s="34">
        <f t="shared" si="1"/>
        <v>0</v>
      </c>
      <c r="H14" s="34">
        <f>-0.68*D14</f>
        <v>-697692.92</v>
      </c>
      <c r="I14" s="9">
        <f t="shared" si="2"/>
        <v>328326.07999999996</v>
      </c>
      <c r="J14" s="40">
        <f t="shared" si="5"/>
        <v>3.5071713277075653E-4</v>
      </c>
      <c r="K14" s="32" t="str">
        <f t="shared" si="3"/>
        <v>Yes</v>
      </c>
      <c r="L14" s="32" t="str">
        <f t="shared" si="4"/>
        <v>Exclude expenditures for Citywide Equity, Civil Rights, and % admin (CDCE, CDCR &amp; portion CDAS) - use base budget for position allocations</v>
      </c>
    </row>
    <row r="15" spans="1:12" x14ac:dyDescent="0.2">
      <c r="A15" s="32" t="s">
        <v>152</v>
      </c>
      <c r="B15" s="34">
        <v>1506506</v>
      </c>
      <c r="C15" s="34">
        <v>0</v>
      </c>
      <c r="D15" s="34">
        <f t="shared" si="0"/>
        <v>1506506</v>
      </c>
      <c r="E15" s="34">
        <f t="shared" si="1"/>
        <v>0</v>
      </c>
      <c r="H15" s="34">
        <v>-1023146</v>
      </c>
      <c r="I15" s="9">
        <f t="shared" si="2"/>
        <v>483360</v>
      </c>
      <c r="J15" s="40">
        <f t="shared" si="5"/>
        <v>5.1632399502370596E-4</v>
      </c>
      <c r="K15" s="32" t="str">
        <f t="shared" si="3"/>
        <v>Yes</v>
      </c>
      <c r="L15" s="32" t="str">
        <f t="shared" si="4"/>
        <v>Exclude Commissioner's Office (PACO000001)</v>
      </c>
    </row>
    <row r="16" spans="1:12" x14ac:dyDescent="0.2">
      <c r="A16" s="32" t="s">
        <v>167</v>
      </c>
      <c r="B16" s="34">
        <v>53628016</v>
      </c>
      <c r="C16" s="34">
        <v>581890</v>
      </c>
      <c r="D16" s="34">
        <f t="shared" si="0"/>
        <v>54209906</v>
      </c>
      <c r="E16" s="34">
        <f t="shared" si="1"/>
        <v>-290945</v>
      </c>
      <c r="H16" s="28"/>
      <c r="I16" s="9">
        <f t="shared" si="2"/>
        <v>53918961</v>
      </c>
      <c r="J16" s="40">
        <f t="shared" si="5"/>
        <v>5.7596105079128178E-2</v>
      </c>
      <c r="K16" s="32" t="str">
        <f t="shared" si="3"/>
        <v>Yes</v>
      </c>
      <c r="L16" s="32" t="str">
        <f t="shared" si="4"/>
        <v xml:space="preserve"> </v>
      </c>
    </row>
    <row r="17" spans="1:12" x14ac:dyDescent="0.2">
      <c r="A17" s="32" t="s">
        <v>168</v>
      </c>
      <c r="B17" s="34">
        <v>138210237</v>
      </c>
      <c r="C17" s="34">
        <v>0</v>
      </c>
      <c r="D17" s="34">
        <f t="shared" si="0"/>
        <v>138210237</v>
      </c>
      <c r="E17" s="34">
        <f t="shared" si="1"/>
        <v>0</v>
      </c>
      <c r="I17" s="9">
        <f t="shared" si="2"/>
        <v>138210237</v>
      </c>
      <c r="J17" s="40">
        <f t="shared" si="5"/>
        <v>0.14763584434171886</v>
      </c>
      <c r="K17" s="32" t="str">
        <f t="shared" si="3"/>
        <v>Yes</v>
      </c>
      <c r="L17" s="32" t="str">
        <f t="shared" si="4"/>
        <v xml:space="preserve"> </v>
      </c>
    </row>
    <row r="18" spans="1:12" x14ac:dyDescent="0.2">
      <c r="A18" s="32" t="s">
        <v>151</v>
      </c>
      <c r="B18" s="34">
        <v>8227752</v>
      </c>
      <c r="C18" s="34">
        <v>0</v>
      </c>
      <c r="D18" s="34">
        <f t="shared" si="0"/>
        <v>8227752</v>
      </c>
      <c r="E18" s="34">
        <f t="shared" si="1"/>
        <v>0</v>
      </c>
      <c r="H18" s="34">
        <f>-1023347/2-889154</f>
        <v>-1400827.5</v>
      </c>
      <c r="I18" s="9">
        <f t="shared" si="2"/>
        <v>6826924.5</v>
      </c>
      <c r="J18" s="40">
        <f t="shared" si="5"/>
        <v>7.2925044098916258E-3</v>
      </c>
      <c r="K18" s="32" t="str">
        <f t="shared" si="3"/>
        <v>Yes</v>
      </c>
      <c r="L18" s="32" t="str">
        <f t="shared" si="4"/>
        <v>Exclude expenditures for Comp Planning &amp; 1/2 of district liaisons (CDAPDI - Dist Plan org unit for positions, CDCPCM - use base budget for positions)</v>
      </c>
    </row>
    <row r="19" spans="1:12" x14ac:dyDescent="0.2">
      <c r="A19" s="32" t="s">
        <v>153</v>
      </c>
      <c r="B19" s="34">
        <v>527875</v>
      </c>
      <c r="C19" s="34">
        <v>0</v>
      </c>
      <c r="D19" s="34">
        <f t="shared" si="0"/>
        <v>527875</v>
      </c>
      <c r="E19" s="34">
        <f t="shared" si="1"/>
        <v>0</v>
      </c>
      <c r="H19" s="34">
        <f t="shared" ref="H19:H21" si="6">-D19-E19-F19-G19</f>
        <v>-527875</v>
      </c>
      <c r="I19" s="9">
        <f t="shared" si="2"/>
        <v>0</v>
      </c>
      <c r="J19" s="40">
        <f t="shared" si="5"/>
        <v>0</v>
      </c>
      <c r="K19" s="32" t="str">
        <f t="shared" si="3"/>
        <v>Yes</v>
      </c>
      <c r="L19" s="32" t="str">
        <f t="shared" si="4"/>
        <v>100% Overhead</v>
      </c>
    </row>
    <row r="20" spans="1:12" x14ac:dyDescent="0.2">
      <c r="A20" s="32" t="s">
        <v>154</v>
      </c>
      <c r="B20" s="34">
        <v>716587</v>
      </c>
      <c r="C20" s="34">
        <v>0</v>
      </c>
      <c r="D20" s="34">
        <f t="shared" si="0"/>
        <v>716587</v>
      </c>
      <c r="E20" s="34">
        <f t="shared" si="1"/>
        <v>0</v>
      </c>
      <c r="H20" s="34">
        <f t="shared" si="6"/>
        <v>-716587</v>
      </c>
      <c r="I20" s="9">
        <f t="shared" si="2"/>
        <v>0</v>
      </c>
      <c r="J20" s="40">
        <f t="shared" si="5"/>
        <v>0</v>
      </c>
      <c r="K20" s="32" t="str">
        <f t="shared" si="3"/>
        <v>Yes</v>
      </c>
      <c r="L20" s="32" t="str">
        <f t="shared" si="4"/>
        <v>100% Overhead</v>
      </c>
    </row>
    <row r="21" spans="1:12" x14ac:dyDescent="0.2">
      <c r="A21" s="32" t="s">
        <v>155</v>
      </c>
      <c r="B21" s="34">
        <v>747785</v>
      </c>
      <c r="C21" s="34">
        <v>0</v>
      </c>
      <c r="D21" s="34">
        <f t="shared" si="0"/>
        <v>747785</v>
      </c>
      <c r="E21" s="34">
        <f t="shared" si="1"/>
        <v>0</v>
      </c>
      <c r="H21" s="34">
        <f t="shared" si="6"/>
        <v>-747785</v>
      </c>
      <c r="I21" s="9">
        <f t="shared" si="2"/>
        <v>0</v>
      </c>
      <c r="J21" s="40">
        <f t="shared" si="5"/>
        <v>0</v>
      </c>
      <c r="K21" s="32" t="str">
        <f t="shared" si="3"/>
        <v>Yes</v>
      </c>
      <c r="L21" s="32" t="str">
        <f t="shared" si="4"/>
        <v>100% Overhead</v>
      </c>
    </row>
    <row r="22" spans="1:12" x14ac:dyDescent="0.2">
      <c r="A22" s="32" t="s">
        <v>169</v>
      </c>
      <c r="B22" s="34">
        <v>13454846</v>
      </c>
      <c r="C22" s="34">
        <v>0</v>
      </c>
      <c r="D22" s="34">
        <f t="shared" si="0"/>
        <v>13454846</v>
      </c>
      <c r="E22" s="34">
        <f t="shared" si="1"/>
        <v>0</v>
      </c>
      <c r="H22" s="34">
        <v>-274049</v>
      </c>
      <c r="I22" s="9">
        <f t="shared" si="2"/>
        <v>13180797</v>
      </c>
      <c r="J22" s="40">
        <f t="shared" si="5"/>
        <v>1.4079695805686195E-2</v>
      </c>
      <c r="K22" s="32" t="str">
        <f t="shared" si="3"/>
        <v>Yes</v>
      </c>
      <c r="L22" s="32" t="str">
        <f t="shared" si="4"/>
        <v>Exclude expenditures for City memberships and dues (MFSA000002)</v>
      </c>
    </row>
    <row r="23" spans="1:12" x14ac:dyDescent="0.2">
      <c r="A23" s="32" t="s">
        <v>318</v>
      </c>
      <c r="B23" s="34">
        <v>6083631</v>
      </c>
      <c r="C23" s="34">
        <v>0</v>
      </c>
      <c r="D23" s="34">
        <f t="shared" si="0"/>
        <v>6083631</v>
      </c>
      <c r="E23" s="34">
        <f t="shared" si="1"/>
        <v>0</v>
      </c>
      <c r="I23" s="9">
        <f t="shared" si="2"/>
        <v>6083631</v>
      </c>
      <c r="J23" s="40">
        <f t="shared" si="5"/>
        <v>6.4985200723478636E-3</v>
      </c>
      <c r="K23" s="32" t="str">
        <f t="shared" si="3"/>
        <v>Yes</v>
      </c>
      <c r="L23" s="32" t="str">
        <f t="shared" si="4"/>
        <v xml:space="preserve"> </v>
      </c>
    </row>
    <row r="24" spans="1:12" x14ac:dyDescent="0.2">
      <c r="A24" s="32" t="s">
        <v>170</v>
      </c>
      <c r="B24" s="34">
        <v>84302222</v>
      </c>
      <c r="C24" s="34">
        <v>69136055</v>
      </c>
      <c r="D24" s="34">
        <f t="shared" si="0"/>
        <v>153438277</v>
      </c>
      <c r="E24" s="34">
        <f t="shared" si="1"/>
        <v>-34568027.5</v>
      </c>
      <c r="I24" s="9">
        <f t="shared" si="2"/>
        <v>118870249.5</v>
      </c>
      <c r="J24" s="40">
        <f t="shared" si="5"/>
        <v>0.12697691598664493</v>
      </c>
      <c r="K24" s="32" t="str">
        <f t="shared" si="3"/>
        <v>Yes</v>
      </c>
      <c r="L24" s="32" t="str">
        <f t="shared" si="4"/>
        <v xml:space="preserve"> </v>
      </c>
    </row>
    <row r="25" spans="1:12" x14ac:dyDescent="0.2">
      <c r="A25" s="32" t="s">
        <v>171</v>
      </c>
      <c r="B25" s="34">
        <v>14117632</v>
      </c>
      <c r="C25" s="34">
        <v>0</v>
      </c>
      <c r="D25" s="34">
        <f t="shared" si="0"/>
        <v>14117632</v>
      </c>
      <c r="E25" s="34">
        <f t="shared" si="1"/>
        <v>0</v>
      </c>
      <c r="F25" s="28"/>
      <c r="I25" s="9">
        <f t="shared" si="2"/>
        <v>14117632</v>
      </c>
      <c r="J25" s="40">
        <f t="shared" si="5"/>
        <v>1.50804207102667E-2</v>
      </c>
      <c r="K25" s="32" t="str">
        <f t="shared" si="3"/>
        <v>Yes</v>
      </c>
      <c r="L25" s="32" t="str">
        <f t="shared" si="4"/>
        <v xml:space="preserve"> </v>
      </c>
    </row>
    <row r="26" spans="1:12" x14ac:dyDescent="0.2">
      <c r="A26" s="32" t="s">
        <v>172</v>
      </c>
      <c r="B26" s="34">
        <v>0</v>
      </c>
      <c r="C26" s="34">
        <v>19799</v>
      </c>
      <c r="D26" s="34">
        <f t="shared" si="0"/>
        <v>19799</v>
      </c>
      <c r="E26" s="34">
        <f t="shared" si="1"/>
        <v>-9899.5</v>
      </c>
      <c r="I26" s="9">
        <f t="shared" si="2"/>
        <v>9899.5</v>
      </c>
      <c r="J26" s="40">
        <f t="shared" si="5"/>
        <v>1.0574622204438053E-5</v>
      </c>
      <c r="K26" s="32" t="str">
        <f t="shared" si="3"/>
        <v>Yes</v>
      </c>
      <c r="L26" s="32" t="str">
        <f t="shared" si="4"/>
        <v xml:space="preserve"> </v>
      </c>
    </row>
    <row r="27" spans="1:12" x14ac:dyDescent="0.2">
      <c r="A27" s="32" t="s">
        <v>173</v>
      </c>
      <c r="B27" s="34">
        <v>21706268</v>
      </c>
      <c r="C27" s="34">
        <v>572300</v>
      </c>
      <c r="D27" s="34">
        <f t="shared" si="0"/>
        <v>22278568</v>
      </c>
      <c r="E27" s="34">
        <f t="shared" si="1"/>
        <v>-286150</v>
      </c>
      <c r="I27" s="9">
        <f t="shared" si="2"/>
        <v>21992418</v>
      </c>
      <c r="J27" s="40">
        <f t="shared" si="5"/>
        <v>2.349224826628447E-2</v>
      </c>
      <c r="K27" s="32" t="str">
        <f t="shared" si="3"/>
        <v>Yes</v>
      </c>
      <c r="L27" s="32" t="str">
        <f t="shared" si="4"/>
        <v xml:space="preserve"> </v>
      </c>
    </row>
    <row r="28" spans="1:12" x14ac:dyDescent="0.2">
      <c r="A28" s="32" t="s">
        <v>174</v>
      </c>
      <c r="B28" s="34">
        <v>4963475</v>
      </c>
      <c r="C28" s="34">
        <v>0</v>
      </c>
      <c r="D28" s="34">
        <f t="shared" si="0"/>
        <v>4963475</v>
      </c>
      <c r="E28" s="34">
        <f t="shared" si="1"/>
        <v>0</v>
      </c>
      <c r="F28" s="28"/>
      <c r="G28" s="34">
        <f>-D28</f>
        <v>-4963475</v>
      </c>
      <c r="I28" s="9">
        <f t="shared" si="2"/>
        <v>0</v>
      </c>
      <c r="J28" s="40">
        <f t="shared" si="5"/>
        <v>0</v>
      </c>
      <c r="K28" s="32" t="str">
        <f t="shared" si="3"/>
        <v>Yes</v>
      </c>
      <c r="L28" s="32" t="str">
        <f t="shared" si="4"/>
        <v>Fixed at $25,000 (hardcoded in Model)</v>
      </c>
    </row>
    <row r="29" spans="1:12" x14ac:dyDescent="0.2">
      <c r="A29" s="32" t="s">
        <v>175</v>
      </c>
      <c r="B29" s="34">
        <v>5232458</v>
      </c>
      <c r="C29" s="34">
        <v>0</v>
      </c>
      <c r="D29" s="34">
        <f t="shared" si="0"/>
        <v>5232458</v>
      </c>
      <c r="E29" s="34">
        <f t="shared" si="1"/>
        <v>0</v>
      </c>
      <c r="F29" s="28"/>
      <c r="G29" s="34">
        <f t="shared" ref="G29:G30" si="7">-D29</f>
        <v>-5232458</v>
      </c>
      <c r="I29" s="9">
        <f t="shared" si="2"/>
        <v>0</v>
      </c>
      <c r="J29" s="40">
        <f t="shared" si="5"/>
        <v>0</v>
      </c>
      <c r="K29" s="32" t="str">
        <f t="shared" si="3"/>
        <v>Yes</v>
      </c>
      <c r="L29" s="32" t="str">
        <f t="shared" si="4"/>
        <v>Fixed at $25,000 (hardcoded in Model)</v>
      </c>
    </row>
    <row r="30" spans="1:12" x14ac:dyDescent="0.2">
      <c r="A30" s="32" t="s">
        <v>176</v>
      </c>
      <c r="B30" s="34">
        <v>6945685</v>
      </c>
      <c r="C30" s="34">
        <v>0</v>
      </c>
      <c r="D30" s="34">
        <f t="shared" si="0"/>
        <v>6945685</v>
      </c>
      <c r="E30" s="34">
        <f t="shared" si="1"/>
        <v>0</v>
      </c>
      <c r="F30" s="28"/>
      <c r="G30" s="34">
        <f t="shared" si="7"/>
        <v>-6945685</v>
      </c>
      <c r="I30" s="9">
        <f t="shared" si="2"/>
        <v>0</v>
      </c>
      <c r="J30" s="40">
        <f t="shared" si="5"/>
        <v>0</v>
      </c>
      <c r="K30" s="32" t="str">
        <f t="shared" si="3"/>
        <v>Yes</v>
      </c>
      <c r="L30" s="32" t="str">
        <f t="shared" si="4"/>
        <v>Fixed at $25,000 (hardcoded in Model)</v>
      </c>
    </row>
    <row r="31" spans="1:12" x14ac:dyDescent="0.2">
      <c r="A31" s="32" t="s">
        <v>177</v>
      </c>
      <c r="B31" s="34">
        <v>73359431</v>
      </c>
      <c r="C31" s="34">
        <v>0</v>
      </c>
      <c r="D31" s="34">
        <f t="shared" si="0"/>
        <v>73359431</v>
      </c>
      <c r="E31" s="34">
        <f t="shared" si="1"/>
        <v>0</v>
      </c>
      <c r="F31" s="28"/>
      <c r="I31" s="9">
        <f t="shared" si="2"/>
        <v>0</v>
      </c>
      <c r="J31" s="40">
        <f t="shared" si="5"/>
        <v>0</v>
      </c>
      <c r="K31" s="32" t="str">
        <f t="shared" si="3"/>
        <v>Yes</v>
      </c>
      <c r="L31" s="32" t="str">
        <f t="shared" si="4"/>
        <v xml:space="preserve"> </v>
      </c>
    </row>
    <row r="32" spans="1:12" x14ac:dyDescent="0.2">
      <c r="A32" s="32" t="s">
        <v>178</v>
      </c>
      <c r="B32" s="34">
        <v>1789720</v>
      </c>
      <c r="C32" s="34">
        <v>0</v>
      </c>
      <c r="D32" s="34">
        <f t="shared" si="0"/>
        <v>1789720</v>
      </c>
      <c r="E32" s="34">
        <f t="shared" si="1"/>
        <v>0</v>
      </c>
      <c r="G32" s="34">
        <f>615175*-0.5</f>
        <v>-307587.5</v>
      </c>
      <c r="I32" s="9">
        <f t="shared" si="2"/>
        <v>1482132.5</v>
      </c>
      <c r="J32" s="40">
        <f t="shared" si="5"/>
        <v>1.5832103888498694E-3</v>
      </c>
      <c r="K32" s="32" t="str">
        <f t="shared" si="3"/>
        <v>Yes</v>
      </c>
      <c r="L32" s="32" t="str">
        <f t="shared" si="4"/>
        <v>50% discount for operating projects</v>
      </c>
    </row>
    <row r="33" spans="1:12" x14ac:dyDescent="0.2">
      <c r="A33" s="32" t="s">
        <v>180</v>
      </c>
      <c r="B33" s="34">
        <v>318419</v>
      </c>
      <c r="C33" s="34">
        <v>0</v>
      </c>
      <c r="D33" s="34">
        <f t="shared" ref="D33:D66" si="8">SUM(B33:C33)</f>
        <v>318419</v>
      </c>
      <c r="E33" s="34">
        <f t="shared" ref="E33:E66" si="9">C33*-0.5</f>
        <v>0</v>
      </c>
      <c r="I33" s="9">
        <f t="shared" si="2"/>
        <v>318419</v>
      </c>
      <c r="J33" s="40">
        <f t="shared" si="5"/>
        <v>3.4013441362846207E-4</v>
      </c>
      <c r="K33" s="32" t="str">
        <f t="shared" ref="K33:K66" si="10">IF(VLOOKUP(A33,Model,2,FALSE)&lt;&gt;"","Yes","No")</f>
        <v>Yes</v>
      </c>
      <c r="L33" s="32" t="str">
        <f t="shared" ref="L33:L66" si="11">IF((VLOOKUP(A33,Crosswalk,3,FALSE))=0," ",(VLOOKUP(A33,Crosswalk,3,FALSE)))</f>
        <v xml:space="preserve"> </v>
      </c>
    </row>
    <row r="34" spans="1:12" x14ac:dyDescent="0.2">
      <c r="A34" s="32" t="s">
        <v>181</v>
      </c>
      <c r="B34" s="34">
        <v>9447081</v>
      </c>
      <c r="C34" s="34">
        <v>0</v>
      </c>
      <c r="D34" s="34">
        <f t="shared" si="8"/>
        <v>9447081</v>
      </c>
      <c r="E34" s="34">
        <f t="shared" si="9"/>
        <v>0</v>
      </c>
      <c r="G34" s="34">
        <f>-D34</f>
        <v>-9447081</v>
      </c>
      <c r="I34" s="9">
        <f t="shared" si="2"/>
        <v>0</v>
      </c>
      <c r="J34" s="40">
        <f t="shared" si="5"/>
        <v>0</v>
      </c>
      <c r="K34" s="32" t="str">
        <f t="shared" si="10"/>
        <v>Yes</v>
      </c>
      <c r="L34" s="32" t="str">
        <f t="shared" si="11"/>
        <v>Fixed at $25,000 (hardcoded in Model)</v>
      </c>
    </row>
    <row r="35" spans="1:12" x14ac:dyDescent="0.2">
      <c r="A35" s="32" t="s">
        <v>319</v>
      </c>
      <c r="B35" s="34">
        <v>8214</v>
      </c>
      <c r="C35" s="34">
        <v>0</v>
      </c>
      <c r="D35" s="34">
        <f t="shared" si="8"/>
        <v>8214</v>
      </c>
      <c r="E35" s="34">
        <f t="shared" si="9"/>
        <v>0</v>
      </c>
      <c r="I35" s="9">
        <f t="shared" si="2"/>
        <v>8214</v>
      </c>
      <c r="J35" s="40">
        <f t="shared" si="5"/>
        <v>8.7741751388710718E-6</v>
      </c>
      <c r="K35" s="32" t="str">
        <f t="shared" si="10"/>
        <v>Yes</v>
      </c>
      <c r="L35" s="32" t="str">
        <f t="shared" si="11"/>
        <v xml:space="preserve"> </v>
      </c>
    </row>
    <row r="36" spans="1:12" x14ac:dyDescent="0.2">
      <c r="A36" s="32" t="s">
        <v>182</v>
      </c>
      <c r="B36" s="34">
        <v>565</v>
      </c>
      <c r="C36" s="34">
        <v>0</v>
      </c>
      <c r="D36" s="34">
        <f t="shared" si="8"/>
        <v>565</v>
      </c>
      <c r="E36" s="34">
        <f t="shared" si="9"/>
        <v>0</v>
      </c>
      <c r="I36" s="9">
        <f t="shared" si="2"/>
        <v>565</v>
      </c>
      <c r="J36" s="40">
        <f t="shared" si="5"/>
        <v>6.0353164760922267E-7</v>
      </c>
      <c r="K36" s="32" t="str">
        <f t="shared" si="10"/>
        <v>Yes</v>
      </c>
      <c r="L36" s="32" t="str">
        <f t="shared" si="11"/>
        <v xml:space="preserve"> </v>
      </c>
    </row>
    <row r="37" spans="1:12" x14ac:dyDescent="0.2">
      <c r="A37" s="32" t="s">
        <v>187</v>
      </c>
      <c r="B37" s="34">
        <v>6112308</v>
      </c>
      <c r="C37" s="34">
        <v>0</v>
      </c>
      <c r="D37" s="34">
        <f t="shared" si="8"/>
        <v>6112308</v>
      </c>
      <c r="E37" s="34">
        <f t="shared" si="9"/>
        <v>0</v>
      </c>
      <c r="I37" s="9">
        <f t="shared" si="2"/>
        <v>6112308</v>
      </c>
      <c r="J37" s="40">
        <f t="shared" si="5"/>
        <v>6.5291527751062525E-3</v>
      </c>
      <c r="K37" s="32" t="str">
        <f t="shared" si="10"/>
        <v>Yes</v>
      </c>
      <c r="L37" s="32" t="str">
        <f t="shared" si="11"/>
        <v xml:space="preserve"> </v>
      </c>
    </row>
    <row r="38" spans="1:12" x14ac:dyDescent="0.2">
      <c r="A38" s="32" t="s">
        <v>183</v>
      </c>
      <c r="B38" s="34">
        <v>334225</v>
      </c>
      <c r="C38" s="34">
        <v>1453116</v>
      </c>
      <c r="D38" s="34">
        <f t="shared" si="8"/>
        <v>1787341</v>
      </c>
      <c r="E38" s="34">
        <f t="shared" si="9"/>
        <v>-726558</v>
      </c>
      <c r="I38" s="9">
        <f t="shared" si="2"/>
        <v>1060783</v>
      </c>
      <c r="J38" s="40">
        <f t="shared" si="5"/>
        <v>1.1331258614970868E-3</v>
      </c>
      <c r="K38" s="32" t="str">
        <f t="shared" si="10"/>
        <v>Yes</v>
      </c>
      <c r="L38" s="32" t="str">
        <f t="shared" si="11"/>
        <v xml:space="preserve"> </v>
      </c>
    </row>
    <row r="39" spans="1:12" x14ac:dyDescent="0.2">
      <c r="A39" s="32" t="s">
        <v>190</v>
      </c>
      <c r="B39" s="34">
        <v>899244</v>
      </c>
      <c r="C39" s="34">
        <v>1220000</v>
      </c>
      <c r="D39" s="34">
        <f t="shared" si="8"/>
        <v>2119244</v>
      </c>
      <c r="E39" s="34">
        <f t="shared" si="9"/>
        <v>-610000</v>
      </c>
      <c r="I39" s="9">
        <f t="shared" si="2"/>
        <v>1509244</v>
      </c>
      <c r="J39" s="40">
        <f t="shared" si="5"/>
        <v>1.6121708282554579E-3</v>
      </c>
      <c r="K39" s="32" t="str">
        <f t="shared" si="10"/>
        <v>Yes</v>
      </c>
      <c r="L39" s="32" t="str">
        <f t="shared" si="11"/>
        <v xml:space="preserve"> </v>
      </c>
    </row>
    <row r="40" spans="1:12" x14ac:dyDescent="0.2">
      <c r="A40" s="32" t="s">
        <v>191</v>
      </c>
      <c r="B40" s="34">
        <v>5615498</v>
      </c>
      <c r="C40" s="34">
        <v>0</v>
      </c>
      <c r="D40" s="34">
        <f t="shared" si="8"/>
        <v>5615498</v>
      </c>
      <c r="E40" s="34">
        <f t="shared" si="9"/>
        <v>0</v>
      </c>
      <c r="I40" s="9">
        <f t="shared" si="2"/>
        <v>5615498</v>
      </c>
      <c r="J40" s="40">
        <f t="shared" si="5"/>
        <v>5.9984615222766283E-3</v>
      </c>
      <c r="K40" s="32" t="str">
        <f t="shared" si="10"/>
        <v>Yes</v>
      </c>
      <c r="L40" s="32" t="str">
        <f t="shared" si="11"/>
        <v xml:space="preserve"> </v>
      </c>
    </row>
    <row r="41" spans="1:12" x14ac:dyDescent="0.2">
      <c r="A41" s="32" t="s">
        <v>186</v>
      </c>
      <c r="B41" s="34">
        <v>1381168</v>
      </c>
      <c r="C41" s="34">
        <v>1331815</v>
      </c>
      <c r="D41" s="34">
        <f t="shared" si="8"/>
        <v>2712983</v>
      </c>
      <c r="E41" s="34">
        <f t="shared" si="9"/>
        <v>-665907.5</v>
      </c>
      <c r="I41" s="9">
        <f t="shared" si="2"/>
        <v>2047075.5</v>
      </c>
      <c r="J41" s="40">
        <f t="shared" si="5"/>
        <v>2.1866811491955281E-3</v>
      </c>
      <c r="K41" s="32" t="str">
        <f t="shared" si="10"/>
        <v>Yes</v>
      </c>
      <c r="L41" s="32" t="str">
        <f t="shared" si="11"/>
        <v xml:space="preserve"> </v>
      </c>
    </row>
    <row r="42" spans="1:12" x14ac:dyDescent="0.2">
      <c r="A42" s="32" t="s">
        <v>320</v>
      </c>
      <c r="B42" s="34">
        <v>171026</v>
      </c>
      <c r="C42" s="34">
        <v>0</v>
      </c>
      <c r="D42" s="34">
        <f t="shared" si="8"/>
        <v>171026</v>
      </c>
      <c r="E42" s="34">
        <f t="shared" si="9"/>
        <v>0</v>
      </c>
      <c r="I42" s="9">
        <f t="shared" si="2"/>
        <v>171026</v>
      </c>
      <c r="J42" s="40">
        <f t="shared" si="5"/>
        <v>1.8268956383011491E-4</v>
      </c>
      <c r="K42" s="32" t="str">
        <f t="shared" si="10"/>
        <v>Yes</v>
      </c>
      <c r="L42" s="32" t="str">
        <f t="shared" si="11"/>
        <v xml:space="preserve"> </v>
      </c>
    </row>
    <row r="43" spans="1:12" x14ac:dyDescent="0.2">
      <c r="A43" s="32" t="s">
        <v>192</v>
      </c>
      <c r="B43" s="34">
        <v>269931</v>
      </c>
      <c r="C43" s="34">
        <v>1522005</v>
      </c>
      <c r="D43" s="34">
        <f t="shared" si="8"/>
        <v>1791936</v>
      </c>
      <c r="E43" s="34">
        <f t="shared" si="9"/>
        <v>-761002.5</v>
      </c>
      <c r="I43" s="9">
        <f t="shared" si="2"/>
        <v>1030933.5</v>
      </c>
      <c r="J43" s="40">
        <f t="shared" si="5"/>
        <v>1.1012406970452081E-3</v>
      </c>
      <c r="K43" s="32" t="str">
        <f t="shared" si="10"/>
        <v>Yes</v>
      </c>
      <c r="L43" s="32" t="str">
        <f t="shared" si="11"/>
        <v xml:space="preserve"> </v>
      </c>
    </row>
    <row r="44" spans="1:12" x14ac:dyDescent="0.2">
      <c r="A44" s="32" t="s">
        <v>193</v>
      </c>
      <c r="B44" s="34">
        <v>2786177</v>
      </c>
      <c r="C44" s="34">
        <v>0</v>
      </c>
      <c r="D44" s="34">
        <f t="shared" si="8"/>
        <v>2786177</v>
      </c>
      <c r="E44" s="34">
        <f t="shared" si="9"/>
        <v>0</v>
      </c>
      <c r="I44" s="9">
        <f t="shared" si="2"/>
        <v>2786177</v>
      </c>
      <c r="J44" s="40">
        <f t="shared" si="5"/>
        <v>2.9761876023733118E-3</v>
      </c>
      <c r="K44" s="32" t="str">
        <f t="shared" si="10"/>
        <v>Yes</v>
      </c>
      <c r="L44" s="32" t="str">
        <f t="shared" si="11"/>
        <v xml:space="preserve"> </v>
      </c>
    </row>
    <row r="45" spans="1:12" x14ac:dyDescent="0.2">
      <c r="A45" s="32" t="s">
        <v>184</v>
      </c>
      <c r="B45" s="34">
        <v>8307485</v>
      </c>
      <c r="C45" s="34">
        <v>0</v>
      </c>
      <c r="D45" s="34">
        <f t="shared" si="8"/>
        <v>8307485</v>
      </c>
      <c r="E45" s="34">
        <f t="shared" si="9"/>
        <v>0</v>
      </c>
      <c r="I45" s="9">
        <f t="shared" si="2"/>
        <v>8307485</v>
      </c>
      <c r="J45" s="40">
        <f t="shared" si="5"/>
        <v>8.8740355921042534E-3</v>
      </c>
      <c r="K45" s="32" t="str">
        <f t="shared" si="10"/>
        <v>Yes</v>
      </c>
      <c r="L45" s="32" t="str">
        <f t="shared" si="11"/>
        <v xml:space="preserve"> </v>
      </c>
    </row>
    <row r="46" spans="1:12" x14ac:dyDescent="0.2">
      <c r="A46" s="32" t="s">
        <v>188</v>
      </c>
      <c r="B46" s="34">
        <v>493225</v>
      </c>
      <c r="C46" s="34">
        <v>13959005</v>
      </c>
      <c r="D46" s="34">
        <f t="shared" si="8"/>
        <v>14452230</v>
      </c>
      <c r="E46" s="34">
        <f t="shared" si="9"/>
        <v>-6979502.5</v>
      </c>
      <c r="I46" s="9">
        <f t="shared" si="2"/>
        <v>7472727.5</v>
      </c>
      <c r="J46" s="40">
        <f t="shared" si="5"/>
        <v>7.9823496286898186E-3</v>
      </c>
      <c r="K46" s="32" t="str">
        <f t="shared" si="10"/>
        <v>Yes</v>
      </c>
      <c r="L46" s="32" t="str">
        <f t="shared" si="11"/>
        <v xml:space="preserve"> </v>
      </c>
    </row>
    <row r="47" spans="1:12" x14ac:dyDescent="0.2">
      <c r="A47" s="32" t="s">
        <v>194</v>
      </c>
      <c r="B47" s="34">
        <v>0</v>
      </c>
      <c r="C47" s="34">
        <v>2081678</v>
      </c>
      <c r="D47" s="34">
        <f t="shared" si="8"/>
        <v>2081678</v>
      </c>
      <c r="E47" s="34">
        <f t="shared" si="9"/>
        <v>-1040839</v>
      </c>
      <c r="I47" s="9">
        <f t="shared" si="2"/>
        <v>1040839</v>
      </c>
      <c r="J47" s="40">
        <f t="shared" si="5"/>
        <v>1.1118217284352846E-3</v>
      </c>
      <c r="K47" s="32" t="str">
        <f t="shared" si="10"/>
        <v>Yes</v>
      </c>
      <c r="L47" s="32" t="str">
        <f t="shared" si="11"/>
        <v xml:space="preserve"> </v>
      </c>
    </row>
    <row r="48" spans="1:12" x14ac:dyDescent="0.2">
      <c r="A48" s="32" t="s">
        <v>189</v>
      </c>
      <c r="B48" s="34">
        <v>97450</v>
      </c>
      <c r="C48" s="34">
        <v>0</v>
      </c>
      <c r="D48" s="34">
        <f t="shared" si="8"/>
        <v>97450</v>
      </c>
      <c r="E48" s="34">
        <f t="shared" si="9"/>
        <v>0</v>
      </c>
      <c r="I48" s="9">
        <f t="shared" si="2"/>
        <v>97450</v>
      </c>
      <c r="J48" s="40">
        <f t="shared" si="5"/>
        <v>1.0409585674251107E-4</v>
      </c>
      <c r="K48" s="32" t="str">
        <f t="shared" si="10"/>
        <v>Yes</v>
      </c>
      <c r="L48" s="32" t="str">
        <f t="shared" si="11"/>
        <v xml:space="preserve"> </v>
      </c>
    </row>
    <row r="49" spans="1:12" x14ac:dyDescent="0.2">
      <c r="A49" s="32" t="s">
        <v>195</v>
      </c>
      <c r="B49" s="34">
        <v>12064815</v>
      </c>
      <c r="C49" s="34">
        <v>0</v>
      </c>
      <c r="D49" s="34">
        <f t="shared" si="8"/>
        <v>12064815</v>
      </c>
      <c r="E49" s="34">
        <f t="shared" si="9"/>
        <v>0</v>
      </c>
      <c r="I49" s="9">
        <f t="shared" si="2"/>
        <v>12064815</v>
      </c>
      <c r="J49" s="40">
        <f t="shared" si="5"/>
        <v>1.2887606504514095E-2</v>
      </c>
      <c r="K49" s="32" t="str">
        <f t="shared" si="10"/>
        <v>Yes</v>
      </c>
      <c r="L49" s="32" t="str">
        <f t="shared" si="11"/>
        <v xml:space="preserve"> </v>
      </c>
    </row>
    <row r="50" spans="1:12" x14ac:dyDescent="0.2">
      <c r="A50" s="32" t="s">
        <v>196</v>
      </c>
      <c r="B50" s="34">
        <v>4631831</v>
      </c>
      <c r="C50" s="34">
        <v>0</v>
      </c>
      <c r="D50" s="34">
        <f t="shared" si="8"/>
        <v>4631831</v>
      </c>
      <c r="E50" s="34">
        <f t="shared" si="9"/>
        <v>0</v>
      </c>
      <c r="I50" s="9">
        <f t="shared" si="2"/>
        <v>4631831</v>
      </c>
      <c r="J50" s="40">
        <f t="shared" si="5"/>
        <v>4.9477107873937588E-3</v>
      </c>
      <c r="K50" s="32" t="str">
        <f t="shared" si="10"/>
        <v>Yes</v>
      </c>
      <c r="L50" s="32" t="str">
        <f t="shared" si="11"/>
        <v xml:space="preserve"> </v>
      </c>
    </row>
    <row r="51" spans="1:12" x14ac:dyDescent="0.2">
      <c r="A51" s="32" t="s">
        <v>197</v>
      </c>
      <c r="B51" s="34">
        <v>617610</v>
      </c>
      <c r="C51" s="34">
        <v>0</v>
      </c>
      <c r="D51" s="34">
        <f t="shared" si="8"/>
        <v>617610</v>
      </c>
      <c r="E51" s="34">
        <f t="shared" si="9"/>
        <v>0</v>
      </c>
      <c r="I51" s="9">
        <f t="shared" si="2"/>
        <v>0</v>
      </c>
      <c r="J51" s="40">
        <f t="shared" si="5"/>
        <v>0</v>
      </c>
      <c r="K51" s="32" t="str">
        <f t="shared" si="10"/>
        <v>Yes</v>
      </c>
      <c r="L51" s="32" t="str">
        <f t="shared" si="11"/>
        <v xml:space="preserve"> </v>
      </c>
    </row>
    <row r="52" spans="1:12" x14ac:dyDescent="0.2">
      <c r="A52" s="32" t="s">
        <v>198</v>
      </c>
      <c r="B52" s="34">
        <v>30421797</v>
      </c>
      <c r="C52" s="34">
        <v>0</v>
      </c>
      <c r="D52" s="34">
        <f t="shared" si="8"/>
        <v>30421797</v>
      </c>
      <c r="E52" s="34">
        <f t="shared" si="9"/>
        <v>0</v>
      </c>
      <c r="G52" s="34">
        <f>28467490*-0.5</f>
        <v>-14233745</v>
      </c>
      <c r="I52" s="9">
        <f t="shared" si="2"/>
        <v>16188052</v>
      </c>
      <c r="J52" s="40">
        <f t="shared" si="5"/>
        <v>1.7292038398484554E-2</v>
      </c>
      <c r="K52" s="32" t="str">
        <f t="shared" si="10"/>
        <v>Yes</v>
      </c>
      <c r="L52" s="32" t="str">
        <f t="shared" si="11"/>
        <v>50% discount for operating projects</v>
      </c>
    </row>
    <row r="53" spans="1:12" x14ac:dyDescent="0.2">
      <c r="A53" s="32" t="s">
        <v>199</v>
      </c>
      <c r="B53" s="34">
        <v>835129</v>
      </c>
      <c r="C53" s="34">
        <v>0</v>
      </c>
      <c r="D53" s="34">
        <f t="shared" si="8"/>
        <v>835129</v>
      </c>
      <c r="E53" s="34">
        <f t="shared" si="9"/>
        <v>0</v>
      </c>
      <c r="G53" s="28"/>
      <c r="I53" s="9">
        <f t="shared" si="2"/>
        <v>0</v>
      </c>
      <c r="J53" s="40">
        <f t="shared" si="5"/>
        <v>0</v>
      </c>
      <c r="K53" s="32" t="str">
        <f t="shared" si="10"/>
        <v>Yes</v>
      </c>
      <c r="L53" s="32" t="str">
        <f t="shared" si="11"/>
        <v xml:space="preserve"> </v>
      </c>
    </row>
    <row r="54" spans="1:12" x14ac:dyDescent="0.2">
      <c r="A54" s="32" t="s">
        <v>410</v>
      </c>
      <c r="B54" s="34">
        <v>7630000</v>
      </c>
      <c r="D54" s="34">
        <f t="shared" ref="D54" si="12">SUM(B54:C54)</f>
        <v>7630000</v>
      </c>
      <c r="E54" s="34">
        <f t="shared" ref="E54:E55" si="13">C54*-0.5</f>
        <v>0</v>
      </c>
      <c r="G54" s="34">
        <f>-D54</f>
        <v>-7630000</v>
      </c>
      <c r="I54" s="9">
        <f t="shared" ref="I54:I55" si="14">IF((VLOOKUP(A54,Crosswalk,2,FALSE)="Excluded"),0,(D54+E54+F54+G54+H54))</f>
        <v>0</v>
      </c>
      <c r="J54" s="40">
        <f t="shared" ref="J54" si="15">I54/(SUM($I$2:$I$81))</f>
        <v>0</v>
      </c>
      <c r="K54" s="32" t="str">
        <f t="shared" ref="K54:K55" si="16">IF(VLOOKUP(A54,Model,2,FALSE)&lt;&gt;"","Yes","No")</f>
        <v>Yes</v>
      </c>
      <c r="L54" s="32" t="str">
        <f t="shared" ref="L54:L55" si="17">IF((VLOOKUP(A54,Crosswalk,3,FALSE))=0," ",(VLOOKUP(A54,Crosswalk,3,FALSE)))</f>
        <v>Fixed at $25,000 (hardcoded in Model)</v>
      </c>
    </row>
    <row r="55" spans="1:12" x14ac:dyDescent="0.2">
      <c r="A55" s="103" t="s">
        <v>424</v>
      </c>
      <c r="B55" s="34">
        <f>'$ FY 2013-14'!B53*0.975</f>
        <v>687.375</v>
      </c>
      <c r="C55" s="34">
        <v>0</v>
      </c>
      <c r="D55" s="34">
        <f t="shared" ref="D55" si="18">SUM(B55:C55)</f>
        <v>687.375</v>
      </c>
      <c r="E55" s="34">
        <f t="shared" si="13"/>
        <v>0</v>
      </c>
      <c r="G55" s="28"/>
      <c r="H55" s="28"/>
      <c r="I55" s="9">
        <f t="shared" si="14"/>
        <v>687.375</v>
      </c>
      <c r="J55" s="40">
        <f t="shared" ref="J55" si="19">I55/(SUM($I$2:$I$79))</f>
        <v>7.3617676592853958E-7</v>
      </c>
      <c r="K55" s="32" t="str">
        <f t="shared" si="16"/>
        <v>Yes</v>
      </c>
      <c r="L55" s="32" t="str">
        <f t="shared" si="17"/>
        <v xml:space="preserve"> </v>
      </c>
    </row>
    <row r="56" spans="1:12" x14ac:dyDescent="0.2">
      <c r="A56" s="32" t="s">
        <v>203</v>
      </c>
      <c r="B56" s="34">
        <v>2009</v>
      </c>
      <c r="C56" s="34">
        <v>-456</v>
      </c>
      <c r="D56" s="34">
        <f t="shared" si="8"/>
        <v>1553</v>
      </c>
      <c r="E56" s="34">
        <f t="shared" si="9"/>
        <v>228</v>
      </c>
      <c r="I56" s="9">
        <f t="shared" si="2"/>
        <v>1781</v>
      </c>
      <c r="J56" s="40">
        <f t="shared" si="5"/>
        <v>1.9024599369770366E-6</v>
      </c>
      <c r="K56" s="32" t="str">
        <f t="shared" si="10"/>
        <v>Yes</v>
      </c>
      <c r="L56" s="32" t="str">
        <f t="shared" si="11"/>
        <v xml:space="preserve"> </v>
      </c>
    </row>
    <row r="57" spans="1:12" x14ac:dyDescent="0.2">
      <c r="A57" s="32" t="s">
        <v>204</v>
      </c>
      <c r="B57" s="34">
        <v>2677</v>
      </c>
      <c r="C57" s="34">
        <v>0</v>
      </c>
      <c r="D57" s="34">
        <f t="shared" si="8"/>
        <v>2677</v>
      </c>
      <c r="E57" s="34">
        <f t="shared" si="9"/>
        <v>0</v>
      </c>
      <c r="I57" s="9">
        <f t="shared" si="2"/>
        <v>2677</v>
      </c>
      <c r="J57" s="40">
        <f t="shared" si="5"/>
        <v>2.8595649923006888E-6</v>
      </c>
      <c r="K57" s="32" t="str">
        <f t="shared" si="10"/>
        <v>Yes</v>
      </c>
      <c r="L57" s="32" t="str">
        <f t="shared" si="11"/>
        <v xml:space="preserve"> </v>
      </c>
    </row>
    <row r="58" spans="1:12" x14ac:dyDescent="0.2">
      <c r="A58" s="32" t="s">
        <v>205</v>
      </c>
      <c r="B58" s="34">
        <v>1164507</v>
      </c>
      <c r="C58" s="34">
        <v>12814647</v>
      </c>
      <c r="D58" s="34">
        <f t="shared" si="8"/>
        <v>13979154</v>
      </c>
      <c r="E58" s="34">
        <f t="shared" si="9"/>
        <v>-6407323.5</v>
      </c>
      <c r="I58" s="9">
        <f t="shared" si="2"/>
        <v>7571830.5</v>
      </c>
      <c r="J58" s="40">
        <f t="shared" si="5"/>
        <v>8.08821121607569E-3</v>
      </c>
      <c r="K58" s="32" t="str">
        <f t="shared" si="10"/>
        <v>Yes</v>
      </c>
      <c r="L58" s="32" t="str">
        <f t="shared" si="11"/>
        <v xml:space="preserve"> </v>
      </c>
    </row>
    <row r="59" spans="1:12" x14ac:dyDescent="0.2">
      <c r="A59" s="32" t="s">
        <v>325</v>
      </c>
      <c r="B59" s="34">
        <v>0</v>
      </c>
      <c r="C59" s="34">
        <v>3978360</v>
      </c>
      <c r="D59" s="34">
        <f t="shared" si="8"/>
        <v>3978360</v>
      </c>
      <c r="E59" s="34">
        <f t="shared" si="9"/>
        <v>-1989180</v>
      </c>
      <c r="I59" s="9">
        <f t="shared" si="2"/>
        <v>0</v>
      </c>
      <c r="J59" s="40">
        <f t="shared" si="5"/>
        <v>0</v>
      </c>
      <c r="K59" s="32" t="str">
        <f t="shared" si="10"/>
        <v>Yes</v>
      </c>
      <c r="L59" s="32" t="str">
        <f t="shared" si="11"/>
        <v xml:space="preserve"> </v>
      </c>
    </row>
    <row r="60" spans="1:12" x14ac:dyDescent="0.2">
      <c r="A60" s="32" t="s">
        <v>324</v>
      </c>
      <c r="B60" s="34">
        <v>348</v>
      </c>
      <c r="C60" s="34">
        <v>5135328</v>
      </c>
      <c r="D60" s="34">
        <f t="shared" si="8"/>
        <v>5135676</v>
      </c>
      <c r="E60" s="34">
        <f t="shared" si="9"/>
        <v>-2567664</v>
      </c>
      <c r="I60" s="9">
        <f t="shared" si="2"/>
        <v>0</v>
      </c>
      <c r="J60" s="40">
        <f t="shared" si="5"/>
        <v>0</v>
      </c>
      <c r="K60" s="32" t="str">
        <f t="shared" si="10"/>
        <v>Yes</v>
      </c>
      <c r="L60" s="32" t="str">
        <f t="shared" si="11"/>
        <v xml:space="preserve"> </v>
      </c>
    </row>
    <row r="61" spans="1:12" x14ac:dyDescent="0.2">
      <c r="A61" s="32" t="s">
        <v>206</v>
      </c>
      <c r="B61" s="34">
        <v>100</v>
      </c>
      <c r="C61" s="34">
        <v>0</v>
      </c>
      <c r="D61" s="34">
        <f t="shared" si="8"/>
        <v>100</v>
      </c>
      <c r="E61" s="34">
        <f t="shared" si="9"/>
        <v>0</v>
      </c>
      <c r="I61" s="9">
        <f t="shared" si="2"/>
        <v>0</v>
      </c>
      <c r="J61" s="40">
        <f t="shared" si="5"/>
        <v>0</v>
      </c>
      <c r="K61" s="32" t="str">
        <f t="shared" si="10"/>
        <v>Yes</v>
      </c>
      <c r="L61" s="32" t="str">
        <f t="shared" si="11"/>
        <v xml:space="preserve"> </v>
      </c>
    </row>
    <row r="62" spans="1:12" x14ac:dyDescent="0.2">
      <c r="A62" s="32" t="s">
        <v>207</v>
      </c>
      <c r="B62" s="34">
        <v>73716913</v>
      </c>
      <c r="C62" s="34">
        <v>93660758</v>
      </c>
      <c r="D62" s="34">
        <f t="shared" si="8"/>
        <v>167377671</v>
      </c>
      <c r="E62" s="34">
        <f t="shared" si="9"/>
        <v>-46830379</v>
      </c>
      <c r="I62" s="9">
        <f t="shared" si="2"/>
        <v>120547292</v>
      </c>
      <c r="J62" s="40">
        <f t="shared" si="5"/>
        <v>0.12876832877095587</v>
      </c>
      <c r="K62" s="32" t="str">
        <f t="shared" si="10"/>
        <v>Yes</v>
      </c>
      <c r="L62" s="32" t="str">
        <f t="shared" si="11"/>
        <v xml:space="preserve"> </v>
      </c>
    </row>
    <row r="63" spans="1:12" x14ac:dyDescent="0.2">
      <c r="A63" s="32" t="s">
        <v>208</v>
      </c>
      <c r="B63" s="34">
        <v>397971</v>
      </c>
      <c r="C63" s="34">
        <v>2839</v>
      </c>
      <c r="D63" s="34">
        <f t="shared" si="8"/>
        <v>400810</v>
      </c>
      <c r="E63" s="34">
        <f t="shared" si="9"/>
        <v>-1419.5</v>
      </c>
      <c r="I63" s="9">
        <f t="shared" si="2"/>
        <v>399390.5</v>
      </c>
      <c r="J63" s="40">
        <f t="shared" si="5"/>
        <v>4.2662797611410839E-4</v>
      </c>
      <c r="K63" s="32" t="str">
        <f t="shared" si="10"/>
        <v>Yes</v>
      </c>
      <c r="L63" s="32" t="str">
        <f t="shared" si="11"/>
        <v xml:space="preserve"> </v>
      </c>
    </row>
    <row r="64" spans="1:12" x14ac:dyDescent="0.2">
      <c r="A64" s="32" t="s">
        <v>209</v>
      </c>
      <c r="B64" s="34">
        <v>54252009</v>
      </c>
      <c r="C64" s="34">
        <v>122401915</v>
      </c>
      <c r="D64" s="34">
        <f t="shared" si="8"/>
        <v>176653924</v>
      </c>
      <c r="E64" s="34">
        <f t="shared" si="9"/>
        <v>-61200957.5</v>
      </c>
      <c r="I64" s="9">
        <f t="shared" si="2"/>
        <v>115452966.5</v>
      </c>
      <c r="J64" s="40">
        <f t="shared" si="5"/>
        <v>0.1233265824656945</v>
      </c>
      <c r="K64" s="32" t="str">
        <f t="shared" si="10"/>
        <v>Yes</v>
      </c>
      <c r="L64" s="32" t="str">
        <f t="shared" si="11"/>
        <v xml:space="preserve"> </v>
      </c>
    </row>
    <row r="65" spans="1:12" x14ac:dyDescent="0.2">
      <c r="A65" s="32" t="s">
        <v>210</v>
      </c>
      <c r="B65" s="34">
        <v>6743915</v>
      </c>
      <c r="C65" s="34">
        <v>-3827</v>
      </c>
      <c r="D65" s="34">
        <f t="shared" si="8"/>
        <v>6740088</v>
      </c>
      <c r="E65" s="34">
        <f t="shared" si="9"/>
        <v>1913.5</v>
      </c>
      <c r="I65" s="9">
        <f t="shared" si="2"/>
        <v>6742001.5</v>
      </c>
      <c r="J65" s="40">
        <f t="shared" si="5"/>
        <v>7.2017898645643378E-3</v>
      </c>
      <c r="K65" s="32" t="str">
        <f t="shared" si="10"/>
        <v>Yes</v>
      </c>
      <c r="L65" s="32" t="str">
        <f t="shared" si="11"/>
        <v xml:space="preserve"> </v>
      </c>
    </row>
    <row r="66" spans="1:12" x14ac:dyDescent="0.2">
      <c r="A66" s="32" t="s">
        <v>211</v>
      </c>
      <c r="B66" s="34">
        <v>1285236</v>
      </c>
      <c r="C66" s="34">
        <v>19785</v>
      </c>
      <c r="D66" s="34">
        <f t="shared" si="8"/>
        <v>1305021</v>
      </c>
      <c r="E66" s="34">
        <f t="shared" si="9"/>
        <v>-9892.5</v>
      </c>
      <c r="I66" s="9">
        <f t="shared" si="2"/>
        <v>1295128.5</v>
      </c>
      <c r="J66" s="40">
        <f t="shared" si="5"/>
        <v>1.383453163664887E-3</v>
      </c>
      <c r="K66" s="32" t="str">
        <f t="shared" si="10"/>
        <v>Yes</v>
      </c>
      <c r="L66" s="32" t="str">
        <f t="shared" si="11"/>
        <v xml:space="preserve"> </v>
      </c>
    </row>
    <row r="67" spans="1:12" x14ac:dyDescent="0.2">
      <c r="A67" s="32" t="s">
        <v>212</v>
      </c>
      <c r="B67" s="34">
        <v>3424110</v>
      </c>
      <c r="C67" s="34">
        <v>0</v>
      </c>
      <c r="D67" s="34">
        <f t="shared" ref="D67:D74" si="20">SUM(B67:C67)</f>
        <v>3424110</v>
      </c>
      <c r="E67" s="34">
        <f t="shared" ref="E67:E74" si="21">C67*-0.5</f>
        <v>0</v>
      </c>
      <c r="I67" s="9">
        <f t="shared" si="2"/>
        <v>3424110</v>
      </c>
      <c r="J67" s="40">
        <f t="shared" si="5"/>
        <v>3.6576261060092311E-3</v>
      </c>
      <c r="K67" s="32" t="str">
        <f t="shared" ref="K67:K74" si="22">IF(VLOOKUP(A67,Model,2,FALSE)&lt;&gt;"","Yes","No")</f>
        <v>Yes</v>
      </c>
      <c r="L67" s="32" t="str">
        <f t="shared" ref="L67:L81" si="23">IF((VLOOKUP(A67,Crosswalk,3,FALSE))=0," ",(VLOOKUP(A67,Crosswalk,3,FALSE)))</f>
        <v xml:space="preserve"> </v>
      </c>
    </row>
    <row r="68" spans="1:12" x14ac:dyDescent="0.2">
      <c r="A68" s="32" t="s">
        <v>213</v>
      </c>
      <c r="B68" s="34">
        <v>3078569</v>
      </c>
      <c r="C68" s="34">
        <v>126066</v>
      </c>
      <c r="D68" s="34">
        <f t="shared" si="20"/>
        <v>3204635</v>
      </c>
      <c r="E68" s="34">
        <f t="shared" si="21"/>
        <v>-63033</v>
      </c>
      <c r="I68" s="9">
        <f t="shared" ref="I68:I81" si="24">IF((VLOOKUP(A68,Crosswalk,2,FALSE)="Excluded"),0,(D68+E68+F68+G68+H68))</f>
        <v>3141602</v>
      </c>
      <c r="J68" s="40">
        <f t="shared" si="5"/>
        <v>3.3558517366237685E-3</v>
      </c>
      <c r="K68" s="32" t="str">
        <f t="shared" si="22"/>
        <v>Yes</v>
      </c>
      <c r="L68" s="32" t="str">
        <f t="shared" si="23"/>
        <v xml:space="preserve"> </v>
      </c>
    </row>
    <row r="69" spans="1:12" x14ac:dyDescent="0.2">
      <c r="A69" s="32" t="s">
        <v>214</v>
      </c>
      <c r="B69" s="34">
        <v>1788262</v>
      </c>
      <c r="C69" s="34">
        <v>2303329</v>
      </c>
      <c r="D69" s="34">
        <f t="shared" si="20"/>
        <v>4091591</v>
      </c>
      <c r="E69" s="34">
        <f t="shared" si="21"/>
        <v>-1151664.5</v>
      </c>
      <c r="I69" s="9">
        <f t="shared" si="24"/>
        <v>2939926.5</v>
      </c>
      <c r="J69" s="40">
        <f t="shared" ref="J69:J81" si="25">I69/(SUM($I$2:$I$81))</f>
        <v>3.1404224502566643E-3</v>
      </c>
      <c r="K69" s="32" t="str">
        <f t="shared" si="22"/>
        <v>Yes</v>
      </c>
      <c r="L69" s="32" t="str">
        <f t="shared" si="23"/>
        <v xml:space="preserve"> </v>
      </c>
    </row>
    <row r="70" spans="1:12" x14ac:dyDescent="0.2">
      <c r="A70" s="32" t="s">
        <v>215</v>
      </c>
      <c r="B70" s="34">
        <v>2256095</v>
      </c>
      <c r="C70" s="34">
        <v>12383</v>
      </c>
      <c r="D70" s="34">
        <f t="shared" si="20"/>
        <v>2268478</v>
      </c>
      <c r="E70" s="34">
        <f t="shared" si="21"/>
        <v>-6191.5</v>
      </c>
      <c r="I70" s="9">
        <f t="shared" si="24"/>
        <v>2262286.5</v>
      </c>
      <c r="J70" s="40">
        <f t="shared" si="25"/>
        <v>2.4165690242638968E-3</v>
      </c>
      <c r="K70" s="32" t="str">
        <f t="shared" si="22"/>
        <v>Yes</v>
      </c>
      <c r="L70" s="32" t="str">
        <f t="shared" si="23"/>
        <v xml:space="preserve"> </v>
      </c>
    </row>
    <row r="71" spans="1:12" x14ac:dyDescent="0.2">
      <c r="A71" s="32" t="s">
        <v>326</v>
      </c>
      <c r="B71" s="34">
        <v>349</v>
      </c>
      <c r="C71" s="34">
        <v>0</v>
      </c>
      <c r="D71" s="34">
        <f t="shared" si="20"/>
        <v>349</v>
      </c>
      <c r="E71" s="34">
        <f t="shared" si="21"/>
        <v>0</v>
      </c>
      <c r="I71" s="9">
        <f t="shared" si="24"/>
        <v>0</v>
      </c>
      <c r="J71" s="40">
        <f t="shared" si="25"/>
        <v>0</v>
      </c>
      <c r="K71" s="32" t="str">
        <f t="shared" si="22"/>
        <v>Yes</v>
      </c>
      <c r="L71" s="32" t="str">
        <f t="shared" si="23"/>
        <v xml:space="preserve"> </v>
      </c>
    </row>
    <row r="72" spans="1:12" x14ac:dyDescent="0.2">
      <c r="A72" s="32" t="s">
        <v>216</v>
      </c>
      <c r="B72" s="34">
        <v>53712130</v>
      </c>
      <c r="C72" s="34">
        <v>0</v>
      </c>
      <c r="D72" s="34">
        <f t="shared" si="20"/>
        <v>53712130</v>
      </c>
      <c r="E72" s="34">
        <f t="shared" si="21"/>
        <v>0</v>
      </c>
      <c r="F72" s="28">
        <v>-49067245</v>
      </c>
      <c r="I72" s="9">
        <f t="shared" si="24"/>
        <v>4644885</v>
      </c>
      <c r="J72" s="40">
        <f t="shared" si="25"/>
        <v>4.9616550389475472E-3</v>
      </c>
      <c r="K72" s="32" t="str">
        <f t="shared" si="22"/>
        <v>Yes</v>
      </c>
      <c r="L72" s="32" t="str">
        <f t="shared" si="23"/>
        <v>Excludes insurance claim payouts (529721 in subfund 700000 and 521900 in subfund 700001)</v>
      </c>
    </row>
    <row r="73" spans="1:12" x14ac:dyDescent="0.2">
      <c r="A73" s="32" t="s">
        <v>217</v>
      </c>
      <c r="B73" s="34">
        <v>18820584</v>
      </c>
      <c r="C73" s="34">
        <v>3340351</v>
      </c>
      <c r="D73" s="34">
        <f t="shared" si="20"/>
        <v>22160935</v>
      </c>
      <c r="E73" s="34">
        <f t="shared" si="21"/>
        <v>-1670175.5</v>
      </c>
      <c r="I73" s="9">
        <f t="shared" si="24"/>
        <v>20490759.5</v>
      </c>
      <c r="J73" s="40">
        <f t="shared" si="25"/>
        <v>2.1888180250972267E-2</v>
      </c>
      <c r="K73" s="32" t="str">
        <f t="shared" si="22"/>
        <v>Yes</v>
      </c>
      <c r="L73" s="32" t="str">
        <f t="shared" si="23"/>
        <v xml:space="preserve"> </v>
      </c>
    </row>
    <row r="74" spans="1:12" x14ac:dyDescent="0.2">
      <c r="A74" s="32" t="s">
        <v>218</v>
      </c>
      <c r="B74" s="34">
        <v>17497880</v>
      </c>
      <c r="C74" s="34">
        <v>7486147</v>
      </c>
      <c r="D74" s="34">
        <f t="shared" si="20"/>
        <v>24984027</v>
      </c>
      <c r="E74" s="34">
        <f t="shared" si="21"/>
        <v>-3743073.5</v>
      </c>
      <c r="I74" s="9">
        <f t="shared" si="24"/>
        <v>21240953.5</v>
      </c>
      <c r="J74" s="40">
        <f t="shared" si="25"/>
        <v>2.2689535686098911E-2</v>
      </c>
      <c r="K74" s="32" t="str">
        <f t="shared" si="22"/>
        <v>Yes</v>
      </c>
      <c r="L74" s="32" t="str">
        <f t="shared" si="23"/>
        <v xml:space="preserve"> </v>
      </c>
    </row>
    <row r="75" spans="1:12" x14ac:dyDescent="0.2">
      <c r="A75" s="32" t="s">
        <v>219</v>
      </c>
      <c r="B75" s="34">
        <v>5139416</v>
      </c>
      <c r="C75" s="34">
        <v>17204</v>
      </c>
      <c r="D75" s="34">
        <f t="shared" ref="D75:D81" si="26">SUM(B75:C75)</f>
        <v>5156620</v>
      </c>
      <c r="E75" s="34">
        <f t="shared" ref="E75:E81" si="27">C75*-0.5</f>
        <v>-8602</v>
      </c>
      <c r="I75" s="9">
        <f t="shared" si="24"/>
        <v>5148018</v>
      </c>
      <c r="J75" s="40">
        <f t="shared" si="25"/>
        <v>5.4991005052423634E-3</v>
      </c>
      <c r="K75" s="32" t="str">
        <f t="shared" ref="K75:K77" si="28">IF(VLOOKUP(A75,Model,2,FALSE)&lt;&gt;"","Yes","No")</f>
        <v>Yes</v>
      </c>
      <c r="L75" s="32" t="str">
        <f t="shared" si="23"/>
        <v xml:space="preserve"> </v>
      </c>
    </row>
    <row r="76" spans="1:12" x14ac:dyDescent="0.2">
      <c r="A76" s="32" t="s">
        <v>220</v>
      </c>
      <c r="B76" s="34">
        <v>5488738</v>
      </c>
      <c r="C76" s="34">
        <v>21005</v>
      </c>
      <c r="D76" s="34">
        <f t="shared" si="26"/>
        <v>5509743</v>
      </c>
      <c r="E76" s="34">
        <f t="shared" si="27"/>
        <v>-10502.5</v>
      </c>
      <c r="F76" s="28"/>
      <c r="I76" s="9">
        <f t="shared" si="24"/>
        <v>5499240.5</v>
      </c>
      <c r="J76" s="40">
        <f t="shared" si="25"/>
        <v>5.874275539051974E-3</v>
      </c>
      <c r="K76" s="32" t="str">
        <f t="shared" si="28"/>
        <v>Yes</v>
      </c>
      <c r="L76" s="32" t="str">
        <f t="shared" si="23"/>
        <v>Excludes risk mgmt claim payouts (529700)</v>
      </c>
    </row>
    <row r="77" spans="1:12" x14ac:dyDescent="0.2">
      <c r="A77" s="32" t="s">
        <v>221</v>
      </c>
      <c r="B77" s="34">
        <v>4275611</v>
      </c>
      <c r="C77" s="34">
        <v>21073</v>
      </c>
      <c r="D77" s="34">
        <f t="shared" si="26"/>
        <v>4296684</v>
      </c>
      <c r="E77" s="34">
        <f t="shared" si="27"/>
        <v>-10536.5</v>
      </c>
      <c r="F77" s="28"/>
      <c r="I77" s="9">
        <f t="shared" si="24"/>
        <v>4286147.5</v>
      </c>
      <c r="J77" s="40">
        <f t="shared" si="25"/>
        <v>4.5784525001259305E-3</v>
      </c>
      <c r="K77" s="32" t="str">
        <f t="shared" si="28"/>
        <v>Yes</v>
      </c>
      <c r="L77" s="32" t="str">
        <f t="shared" si="23"/>
        <v>Excludes risk mgmt claim payouts (529700)</v>
      </c>
    </row>
    <row r="78" spans="1:12" x14ac:dyDescent="0.2">
      <c r="A78" s="32" t="s">
        <v>222</v>
      </c>
      <c r="B78" s="34">
        <v>38287560</v>
      </c>
      <c r="C78" s="34">
        <v>3236368</v>
      </c>
      <c r="D78" s="34">
        <f t="shared" si="26"/>
        <v>41523928</v>
      </c>
      <c r="E78" s="34">
        <f t="shared" si="27"/>
        <v>-1618184</v>
      </c>
      <c r="I78" s="9">
        <f t="shared" si="24"/>
        <v>39905744</v>
      </c>
      <c r="J78" s="40">
        <f t="shared" si="25"/>
        <v>4.262722022193248E-2</v>
      </c>
      <c r="K78" s="32" t="str">
        <f t="shared" ref="K78:K81" si="29">IF(VLOOKUP(A78,Model,2,FALSE)&lt;&gt;"","Yes","No")</f>
        <v>Yes</v>
      </c>
      <c r="L78" s="32" t="str">
        <f t="shared" si="23"/>
        <v xml:space="preserve"> </v>
      </c>
    </row>
    <row r="79" spans="1:12" x14ac:dyDescent="0.2">
      <c r="A79" s="32" t="s">
        <v>223</v>
      </c>
      <c r="B79" s="34">
        <v>3563321</v>
      </c>
      <c r="C79" s="34">
        <v>948404</v>
      </c>
      <c r="D79" s="34">
        <f t="shared" si="26"/>
        <v>4511725</v>
      </c>
      <c r="E79" s="34">
        <f t="shared" si="27"/>
        <v>-474202</v>
      </c>
      <c r="I79" s="9">
        <f t="shared" si="24"/>
        <v>4037523</v>
      </c>
      <c r="J79" s="40">
        <f t="shared" si="25"/>
        <v>4.3128724043365162E-3</v>
      </c>
      <c r="K79" s="32" t="str">
        <f t="shared" si="29"/>
        <v>Yes</v>
      </c>
      <c r="L79" s="32" t="str">
        <f t="shared" si="23"/>
        <v xml:space="preserve"> </v>
      </c>
    </row>
    <row r="80" spans="1:12" x14ac:dyDescent="0.2">
      <c r="A80" s="32" t="s">
        <v>224</v>
      </c>
      <c r="B80" s="34">
        <v>108209300</v>
      </c>
      <c r="C80" s="34">
        <v>170648</v>
      </c>
      <c r="D80" s="34">
        <f t="shared" si="26"/>
        <v>108379948</v>
      </c>
      <c r="E80" s="34">
        <f t="shared" si="27"/>
        <v>-85324</v>
      </c>
      <c r="F80" s="34">
        <f>-99417595-6429827</f>
        <v>-105847422</v>
      </c>
      <c r="I80" s="9">
        <f t="shared" si="24"/>
        <v>2447202</v>
      </c>
      <c r="J80" s="40">
        <f t="shared" si="25"/>
        <v>2.6140953187479381E-3</v>
      </c>
      <c r="K80" s="32" t="str">
        <f t="shared" si="29"/>
        <v>Yes</v>
      </c>
      <c r="L80" s="32" t="str">
        <f t="shared" si="23"/>
        <v>Excludes retirement payouts, PERS contributions, and disability/death benefits (547000, 547100)</v>
      </c>
    </row>
    <row r="81" spans="1:12" x14ac:dyDescent="0.2">
      <c r="A81" s="32" t="s">
        <v>225</v>
      </c>
      <c r="B81" s="34">
        <v>8255</v>
      </c>
      <c r="C81" s="34">
        <v>0</v>
      </c>
      <c r="D81" s="34">
        <f t="shared" si="26"/>
        <v>8255</v>
      </c>
      <c r="E81" s="34">
        <f t="shared" si="27"/>
        <v>0</v>
      </c>
      <c r="I81" s="9">
        <f t="shared" si="24"/>
        <v>0</v>
      </c>
      <c r="J81" s="40">
        <f t="shared" si="25"/>
        <v>0</v>
      </c>
      <c r="K81" s="32" t="str">
        <f t="shared" si="29"/>
        <v>Yes</v>
      </c>
      <c r="L81" s="32" t="str">
        <f t="shared" si="23"/>
        <v xml:space="preserve"> </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3"/>
  <sheetViews>
    <sheetView topLeftCell="A7" workbookViewId="0">
      <selection activeCell="B13" sqref="B13:C13"/>
    </sheetView>
  </sheetViews>
  <sheetFormatPr defaultRowHeight="12.75" x14ac:dyDescent="0.2"/>
  <cols>
    <col min="1" max="1" width="11.42578125" bestFit="1" customWidth="1"/>
    <col min="2" max="2" width="8.42578125" bestFit="1" customWidth="1"/>
    <col min="3" max="3" width="8.42578125" style="32" customWidth="1"/>
    <col min="4" max="4" width="12.5703125" customWidth="1"/>
    <col min="5" max="5" width="11.28515625" customWidth="1"/>
    <col min="6" max="6" width="11" customWidth="1"/>
    <col min="7" max="7" width="10.28515625" customWidth="1"/>
    <col min="8" max="8" width="9.7109375" customWidth="1"/>
  </cols>
  <sheetData>
    <row r="1" spans="1:8" s="14" customFormat="1" ht="60" x14ac:dyDescent="0.25">
      <c r="A1" s="16" t="s">
        <v>226</v>
      </c>
      <c r="B1" s="21" t="s">
        <v>383</v>
      </c>
      <c r="C1" s="21" t="s">
        <v>408</v>
      </c>
      <c r="D1" s="21" t="s">
        <v>407</v>
      </c>
      <c r="E1" s="21" t="s">
        <v>384</v>
      </c>
      <c r="F1" s="17" t="s">
        <v>340</v>
      </c>
      <c r="G1" s="5" t="s">
        <v>338</v>
      </c>
      <c r="H1" s="5" t="s">
        <v>343</v>
      </c>
    </row>
    <row r="2" spans="1:8" ht="15" x14ac:dyDescent="0.25">
      <c r="A2" s="60" t="s">
        <v>161</v>
      </c>
      <c r="B2" s="61">
        <v>64</v>
      </c>
      <c r="C2" s="63">
        <v>-2</v>
      </c>
      <c r="D2">
        <v>-62</v>
      </c>
      <c r="E2" s="32">
        <f t="shared" ref="E2:E42" si="0">IF((VLOOKUP(A2,Crosswalk,2,FALSE)="Excluded"),0,(SUM(B2+C2+D2)))</f>
        <v>0</v>
      </c>
      <c r="F2" s="18">
        <f>E2/SUM($E$2:$E$42)</f>
        <v>0</v>
      </c>
      <c r="G2" s="32" t="str">
        <f t="shared" ref="G2:G41" si="1">IF(VLOOKUP(A2,Model,2,FALSE)&lt;&gt;"","Yes","No")</f>
        <v>Yes</v>
      </c>
      <c r="H2" s="32" t="str">
        <f t="shared" ref="H2:H40" si="2">IF((VLOOKUP(A2,Crosswalk,3,FALSE))=0," ",(VLOOKUP(A2,Crosswalk,3,FALSE)))</f>
        <v>100% Overhead</v>
      </c>
    </row>
    <row r="3" spans="1:8" ht="15" x14ac:dyDescent="0.25">
      <c r="A3" s="60" t="s">
        <v>162</v>
      </c>
      <c r="B3" s="61">
        <v>64</v>
      </c>
      <c r="C3" s="63">
        <v>-4</v>
      </c>
      <c r="D3">
        <v>-60</v>
      </c>
      <c r="E3" s="32">
        <f t="shared" si="0"/>
        <v>0</v>
      </c>
      <c r="F3" s="18">
        <f t="shared" ref="F3:F42" si="3">E3/SUM($E$2:$E$42)</f>
        <v>0</v>
      </c>
      <c r="G3" s="32" t="str">
        <f t="shared" si="1"/>
        <v>Yes</v>
      </c>
      <c r="H3" s="32" t="str">
        <f t="shared" si="2"/>
        <v>Exclude IPR starting in FY 2017-18 actuals</v>
      </c>
    </row>
    <row r="4" spans="1:8" ht="15" x14ac:dyDescent="0.25">
      <c r="A4" s="60" t="s">
        <v>164</v>
      </c>
      <c r="B4" s="61">
        <v>20</v>
      </c>
      <c r="C4" s="63">
        <v>-2</v>
      </c>
      <c r="D4">
        <v>-18</v>
      </c>
      <c r="E4" s="32">
        <f t="shared" si="0"/>
        <v>0</v>
      </c>
      <c r="F4" s="18">
        <f t="shared" si="3"/>
        <v>0</v>
      </c>
      <c r="G4" s="32" t="str">
        <f t="shared" si="1"/>
        <v>Yes</v>
      </c>
      <c r="H4" s="32" t="str">
        <f t="shared" si="2"/>
        <v>100% Overhead</v>
      </c>
    </row>
    <row r="5" spans="1:8" ht="15" x14ac:dyDescent="0.25">
      <c r="A5" s="60" t="s">
        <v>165</v>
      </c>
      <c r="B5" s="61">
        <v>751</v>
      </c>
      <c r="C5" s="63">
        <v>-14</v>
      </c>
      <c r="D5">
        <v>-1</v>
      </c>
      <c r="E5" s="32">
        <f t="shared" si="0"/>
        <v>736</v>
      </c>
      <c r="F5" s="18">
        <f t="shared" si="3"/>
        <v>8.3984709305642724E-2</v>
      </c>
      <c r="G5" s="32" t="str">
        <f t="shared" si="1"/>
        <v>Yes</v>
      </c>
      <c r="H5" s="32" t="str">
        <f t="shared" si="2"/>
        <v>Exclude expenditures for emergency mgmt (FREO000004 Fund Center)</v>
      </c>
    </row>
    <row r="6" spans="1:8" ht="15" x14ac:dyDescent="0.25">
      <c r="A6" s="60" t="s">
        <v>157</v>
      </c>
      <c r="B6" s="61">
        <v>8</v>
      </c>
      <c r="C6" s="63"/>
      <c r="D6">
        <v>-8</v>
      </c>
      <c r="E6" s="32">
        <f t="shared" si="0"/>
        <v>0</v>
      </c>
      <c r="F6" s="18">
        <f t="shared" si="3"/>
        <v>0</v>
      </c>
      <c r="G6" s="32" t="str">
        <f t="shared" si="1"/>
        <v>Yes</v>
      </c>
      <c r="H6" s="32" t="str">
        <f t="shared" si="2"/>
        <v>100% Overhead</v>
      </c>
    </row>
    <row r="7" spans="1:8" ht="15" x14ac:dyDescent="0.25">
      <c r="A7" s="60" t="s">
        <v>166</v>
      </c>
      <c r="B7" s="61">
        <v>60</v>
      </c>
      <c r="C7" s="63">
        <v>-2</v>
      </c>
      <c r="E7" s="32">
        <f t="shared" si="0"/>
        <v>58</v>
      </c>
      <c r="F7" s="18">
        <f t="shared" si="3"/>
        <v>6.6183602441946708E-3</v>
      </c>
      <c r="G7" s="32" t="str">
        <f t="shared" si="1"/>
        <v>Yes</v>
      </c>
      <c r="H7" s="32" t="str">
        <f t="shared" si="2"/>
        <v xml:space="preserve"> </v>
      </c>
    </row>
    <row r="8" spans="1:8" ht="15" x14ac:dyDescent="0.25">
      <c r="A8" s="60" t="s">
        <v>159</v>
      </c>
      <c r="B8" s="61">
        <v>309</v>
      </c>
      <c r="C8" s="63">
        <v>-18</v>
      </c>
      <c r="D8" s="12">
        <f>-208+5</f>
        <v>-203</v>
      </c>
      <c r="E8" s="32">
        <f t="shared" si="0"/>
        <v>88</v>
      </c>
      <c r="F8" s="18">
        <f t="shared" si="3"/>
        <v>1.0041650025674673E-2</v>
      </c>
      <c r="G8" s="32" t="str">
        <f t="shared" si="1"/>
        <v>Yes</v>
      </c>
      <c r="H8" s="32" t="str">
        <f t="shared" si="2"/>
        <v>Exclude MFHR, MFDR, MFPU, MFOP, and MFFS cost centers. Beginning FY 18-19 need to also adjust for MFRB000002 functional area LACROPBAAR (accounts receiveable)</v>
      </c>
    </row>
    <row r="9" spans="1:8" ht="15" x14ac:dyDescent="0.25">
      <c r="A9" s="60" t="s">
        <v>163</v>
      </c>
      <c r="B9" s="61">
        <v>28</v>
      </c>
      <c r="C9" s="63">
        <v>-2</v>
      </c>
      <c r="D9" s="12">
        <f>-26+1</f>
        <v>-25</v>
      </c>
      <c r="E9" s="32">
        <f t="shared" si="0"/>
        <v>1</v>
      </c>
      <c r="F9" s="18">
        <f t="shared" si="3"/>
        <v>1.1410965938266674E-4</v>
      </c>
      <c r="G9" s="32" t="str">
        <f t="shared" si="1"/>
        <v>Yes</v>
      </c>
      <c r="H9" s="32" t="str">
        <f t="shared" si="2"/>
        <v>Exclude expenditures for Admin &amp; Support (LAMYAS Functional Area), include only OYVP for positions</v>
      </c>
    </row>
    <row r="10" spans="1:8" ht="15" x14ac:dyDescent="0.25">
      <c r="A10" s="60" t="s">
        <v>160</v>
      </c>
      <c r="B10" s="61">
        <v>55</v>
      </c>
      <c r="C10" s="63">
        <v>-4</v>
      </c>
      <c r="D10" s="12">
        <v>-6</v>
      </c>
      <c r="E10" s="32">
        <f t="shared" si="0"/>
        <v>45</v>
      </c>
      <c r="F10" s="18">
        <f t="shared" si="3"/>
        <v>5.1349346722200035E-3</v>
      </c>
      <c r="G10" s="32" t="str">
        <f t="shared" si="1"/>
        <v>Yes</v>
      </c>
      <c r="H10" s="32" t="str">
        <f t="shared" si="2"/>
        <v>Exclude expenditures for Information &amp; Referral and Public Involvement best practices (CDIR - Info &amp; Rfrrl org unit for positions, CDNRNOPI - no positions)</v>
      </c>
    </row>
    <row r="11" spans="1:8" ht="15" x14ac:dyDescent="0.25">
      <c r="A11" s="60" t="s">
        <v>316</v>
      </c>
      <c r="B11" s="61">
        <v>9</v>
      </c>
      <c r="C11" s="63"/>
      <c r="E11" s="32">
        <f t="shared" si="0"/>
        <v>9</v>
      </c>
      <c r="F11" s="18">
        <f t="shared" si="3"/>
        <v>1.0269869344440006E-3</v>
      </c>
      <c r="G11" s="32" t="str">
        <f t="shared" si="1"/>
        <v>Yes</v>
      </c>
      <c r="H11" s="32" t="str">
        <f t="shared" si="2"/>
        <v>Exclude expenditures for Citywide Equity, Civil Rights, and % admin (CDCE, CDCR &amp; portion CDAS) - use base budget for position allocations</v>
      </c>
    </row>
    <row r="12" spans="1:8" ht="15" x14ac:dyDescent="0.25">
      <c r="A12" s="60" t="s">
        <v>152</v>
      </c>
      <c r="B12" s="61">
        <v>15</v>
      </c>
      <c r="C12" s="63">
        <v>-1</v>
      </c>
      <c r="D12" s="12">
        <f>-13+1</f>
        <v>-12</v>
      </c>
      <c r="E12" s="32">
        <f t="shared" si="0"/>
        <v>2</v>
      </c>
      <c r="F12" s="18">
        <f t="shared" si="3"/>
        <v>2.2821931876533348E-4</v>
      </c>
      <c r="G12" s="32" t="str">
        <f t="shared" si="1"/>
        <v>Yes</v>
      </c>
      <c r="H12" s="32" t="str">
        <f t="shared" si="2"/>
        <v>Exclude Commissioner's Office (PACO000001)</v>
      </c>
    </row>
    <row r="13" spans="1:8" ht="15" x14ac:dyDescent="0.25">
      <c r="A13" s="60" t="s">
        <v>167</v>
      </c>
      <c r="B13" s="61">
        <v>5011</v>
      </c>
      <c r="C13" s="63">
        <v>-1379</v>
      </c>
      <c r="E13" s="32">
        <f t="shared" si="0"/>
        <v>3632</v>
      </c>
      <c r="F13" s="18">
        <f t="shared" si="3"/>
        <v>0.41444628287784563</v>
      </c>
      <c r="G13" s="32" t="str">
        <f t="shared" si="1"/>
        <v>Yes</v>
      </c>
      <c r="H13" s="32" t="str">
        <f t="shared" si="2"/>
        <v xml:space="preserve"> </v>
      </c>
    </row>
    <row r="14" spans="1:8" ht="15" x14ac:dyDescent="0.25">
      <c r="A14" s="60" t="s">
        <v>168</v>
      </c>
      <c r="B14" s="61">
        <v>1229</v>
      </c>
      <c r="C14" s="63">
        <v>-4</v>
      </c>
      <c r="E14" s="32">
        <f t="shared" si="0"/>
        <v>1225</v>
      </c>
      <c r="F14" s="18">
        <f t="shared" si="3"/>
        <v>0.13978433274376675</v>
      </c>
      <c r="G14" s="32" t="str">
        <f t="shared" si="1"/>
        <v>Yes</v>
      </c>
      <c r="H14" s="32" t="str">
        <f t="shared" si="2"/>
        <v xml:space="preserve"> </v>
      </c>
    </row>
    <row r="15" spans="1:8" ht="15" x14ac:dyDescent="0.25">
      <c r="A15" s="60" t="s">
        <v>151</v>
      </c>
      <c r="B15" s="61">
        <v>102</v>
      </c>
      <c r="C15" s="63">
        <v>-11</v>
      </c>
      <c r="D15" s="12">
        <f>(16*-0.5)-10+3.5</f>
        <v>-14.5</v>
      </c>
      <c r="E15" s="32">
        <f t="shared" si="0"/>
        <v>76.5</v>
      </c>
      <c r="F15" s="18">
        <f t="shared" si="3"/>
        <v>8.7293889427740058E-3</v>
      </c>
      <c r="G15" s="32" t="str">
        <f t="shared" si="1"/>
        <v>Yes</v>
      </c>
      <c r="H15" s="32" t="str">
        <f t="shared" si="2"/>
        <v>Exclude expenditures for Comp Planning &amp; 1/2 of district liaisons (CDAPDI - Dist Plan org unit for positions, CDCPCM - use base budget for positions)</v>
      </c>
    </row>
    <row r="16" spans="1:8" ht="15" x14ac:dyDescent="0.25">
      <c r="A16" s="60" t="s">
        <v>153</v>
      </c>
      <c r="B16" s="61">
        <v>7</v>
      </c>
      <c r="C16" s="63">
        <v>-1</v>
      </c>
      <c r="D16">
        <v>-6</v>
      </c>
      <c r="E16" s="32">
        <f t="shared" si="0"/>
        <v>0</v>
      </c>
      <c r="F16" s="18">
        <f t="shared" si="3"/>
        <v>0</v>
      </c>
      <c r="G16" s="32" t="str">
        <f t="shared" si="1"/>
        <v>Yes</v>
      </c>
      <c r="H16" s="32" t="str">
        <f t="shared" si="2"/>
        <v>100% Overhead</v>
      </c>
    </row>
    <row r="17" spans="1:13" ht="15" x14ac:dyDescent="0.25">
      <c r="A17" s="60" t="s">
        <v>154</v>
      </c>
      <c r="B17" s="61">
        <v>8</v>
      </c>
      <c r="C17" s="63"/>
      <c r="D17">
        <v>-8</v>
      </c>
      <c r="E17" s="32">
        <f t="shared" si="0"/>
        <v>0</v>
      </c>
      <c r="F17" s="18">
        <f t="shared" si="3"/>
        <v>0</v>
      </c>
      <c r="G17" s="32" t="str">
        <f t="shared" si="1"/>
        <v>Yes</v>
      </c>
      <c r="H17" s="32" t="str">
        <f t="shared" si="2"/>
        <v>100% Overhead</v>
      </c>
    </row>
    <row r="18" spans="1:13" ht="15" x14ac:dyDescent="0.25">
      <c r="A18" s="60" t="s">
        <v>155</v>
      </c>
      <c r="B18" s="61">
        <v>12</v>
      </c>
      <c r="C18" s="63">
        <v>-2</v>
      </c>
      <c r="D18">
        <v>-10</v>
      </c>
      <c r="E18" s="32">
        <f t="shared" si="0"/>
        <v>0</v>
      </c>
      <c r="F18" s="18">
        <f t="shared" si="3"/>
        <v>0</v>
      </c>
      <c r="G18" s="32" t="str">
        <f t="shared" si="1"/>
        <v>Yes</v>
      </c>
      <c r="H18" s="32" t="str">
        <f t="shared" si="2"/>
        <v>100% Overhead</v>
      </c>
    </row>
    <row r="19" spans="1:13" ht="15" x14ac:dyDescent="0.25">
      <c r="A19" s="60" t="s">
        <v>170</v>
      </c>
      <c r="B19" s="61">
        <v>773</v>
      </c>
      <c r="C19" s="63">
        <v>-19</v>
      </c>
      <c r="E19" s="32">
        <f t="shared" si="0"/>
        <v>754</v>
      </c>
      <c r="F19" s="18">
        <f t="shared" si="3"/>
        <v>8.6038683174530728E-2</v>
      </c>
      <c r="G19" s="32" t="str">
        <f t="shared" si="1"/>
        <v>Yes</v>
      </c>
      <c r="H19" s="32" t="str">
        <f t="shared" si="2"/>
        <v xml:space="preserve"> </v>
      </c>
    </row>
    <row r="20" spans="1:13" ht="15" x14ac:dyDescent="0.25">
      <c r="A20" s="60" t="s">
        <v>171</v>
      </c>
      <c r="B20" s="61">
        <v>146</v>
      </c>
      <c r="C20" s="63">
        <v>-3</v>
      </c>
      <c r="E20" s="32">
        <f t="shared" si="0"/>
        <v>143</v>
      </c>
      <c r="F20" s="18">
        <f t="shared" si="3"/>
        <v>1.6317681291721346E-2</v>
      </c>
      <c r="G20" s="32" t="str">
        <f t="shared" si="1"/>
        <v>Yes</v>
      </c>
      <c r="H20" s="32" t="str">
        <f t="shared" si="2"/>
        <v xml:space="preserve"> </v>
      </c>
    </row>
    <row r="21" spans="1:13" ht="15" x14ac:dyDescent="0.25">
      <c r="A21" s="60" t="s">
        <v>173</v>
      </c>
      <c r="B21" s="61">
        <v>215</v>
      </c>
      <c r="C21" s="63">
        <v>-1</v>
      </c>
      <c r="E21" s="32">
        <f t="shared" si="0"/>
        <v>214</v>
      </c>
      <c r="F21" s="18">
        <f t="shared" si="3"/>
        <v>2.4419467107890683E-2</v>
      </c>
      <c r="G21" s="32" t="str">
        <f t="shared" si="1"/>
        <v>Yes</v>
      </c>
      <c r="H21" s="32" t="str">
        <f t="shared" si="2"/>
        <v xml:space="preserve"> </v>
      </c>
      <c r="M21">
        <f>5.2/10.05</f>
        <v>0.51741293532338306</v>
      </c>
    </row>
    <row r="22" spans="1:13" ht="15" x14ac:dyDescent="0.25">
      <c r="A22" s="60" t="s">
        <v>181</v>
      </c>
      <c r="B22" s="61">
        <v>5</v>
      </c>
      <c r="C22" s="63"/>
      <c r="D22">
        <v>-5</v>
      </c>
      <c r="E22" s="32">
        <f t="shared" si="0"/>
        <v>0</v>
      </c>
      <c r="F22" s="18">
        <f t="shared" si="3"/>
        <v>0</v>
      </c>
      <c r="G22" s="32" t="str">
        <f t="shared" si="1"/>
        <v>Yes</v>
      </c>
      <c r="H22" s="32" t="str">
        <f t="shared" si="2"/>
        <v>Fixed at $25,000 (hardcoded in Model)</v>
      </c>
      <c r="M22">
        <f>M21*0.95</f>
        <v>0.49154228855721388</v>
      </c>
    </row>
    <row r="23" spans="1:13" ht="15" x14ac:dyDescent="0.25">
      <c r="A23" s="60" t="s">
        <v>197</v>
      </c>
      <c r="B23" s="61">
        <v>2</v>
      </c>
      <c r="C23" s="63">
        <v>-2</v>
      </c>
      <c r="E23" s="32">
        <f t="shared" si="0"/>
        <v>0</v>
      </c>
      <c r="F23" s="18">
        <f t="shared" si="3"/>
        <v>0</v>
      </c>
      <c r="G23" s="32" t="str">
        <f t="shared" si="1"/>
        <v>Yes</v>
      </c>
      <c r="H23" s="32" t="str">
        <f t="shared" si="2"/>
        <v xml:space="preserve"> </v>
      </c>
    </row>
    <row r="24" spans="1:13" ht="15" x14ac:dyDescent="0.25">
      <c r="A24" s="60" t="s">
        <v>205</v>
      </c>
      <c r="B24" s="61">
        <v>11</v>
      </c>
      <c r="C24" s="63">
        <v>-1</v>
      </c>
      <c r="E24" s="32">
        <f t="shared" si="0"/>
        <v>10</v>
      </c>
      <c r="F24" s="18">
        <f t="shared" si="3"/>
        <v>1.1410965938266674E-3</v>
      </c>
      <c r="G24" s="32" t="str">
        <f t="shared" si="1"/>
        <v>Yes</v>
      </c>
      <c r="H24" s="32" t="str">
        <f t="shared" si="2"/>
        <v xml:space="preserve"> </v>
      </c>
    </row>
    <row r="25" spans="1:13" ht="15" x14ac:dyDescent="0.25">
      <c r="A25" s="60" t="s">
        <v>207</v>
      </c>
      <c r="B25" s="61">
        <v>627</v>
      </c>
      <c r="C25" s="63">
        <v>-67</v>
      </c>
      <c r="E25" s="32">
        <f t="shared" si="0"/>
        <v>560</v>
      </c>
      <c r="F25" s="18">
        <f t="shared" si="3"/>
        <v>6.390140925429337E-2</v>
      </c>
      <c r="G25" s="32" t="str">
        <f t="shared" si="1"/>
        <v>Yes</v>
      </c>
      <c r="H25" s="32" t="str">
        <f t="shared" si="2"/>
        <v xml:space="preserve"> </v>
      </c>
    </row>
    <row r="26" spans="1:13" ht="15" x14ac:dyDescent="0.25">
      <c r="A26" s="60" t="s">
        <v>208</v>
      </c>
      <c r="B26" s="61">
        <v>3</v>
      </c>
      <c r="C26" s="63"/>
      <c r="E26" s="32">
        <f t="shared" si="0"/>
        <v>3</v>
      </c>
      <c r="F26" s="18">
        <f t="shared" si="3"/>
        <v>3.4232897814800024E-4</v>
      </c>
      <c r="G26" s="32" t="str">
        <f t="shared" si="1"/>
        <v>Yes</v>
      </c>
      <c r="H26" s="32" t="str">
        <f t="shared" si="2"/>
        <v xml:space="preserve"> </v>
      </c>
    </row>
    <row r="27" spans="1:13" ht="15" x14ac:dyDescent="0.25">
      <c r="A27" s="60" t="s">
        <v>209</v>
      </c>
      <c r="B27" s="61">
        <v>673</v>
      </c>
      <c r="C27" s="63">
        <v>-45</v>
      </c>
      <c r="E27" s="32">
        <f t="shared" si="0"/>
        <v>628</v>
      </c>
      <c r="F27" s="18">
        <f t="shared" si="3"/>
        <v>7.1660866092314715E-2</v>
      </c>
      <c r="G27" s="32" t="str">
        <f t="shared" si="1"/>
        <v>Yes</v>
      </c>
      <c r="H27" s="32" t="str">
        <f t="shared" si="2"/>
        <v xml:space="preserve"> </v>
      </c>
    </row>
    <row r="28" spans="1:13" ht="15" x14ac:dyDescent="0.25">
      <c r="A28" s="60" t="s">
        <v>210</v>
      </c>
      <c r="B28" s="61">
        <v>97</v>
      </c>
      <c r="C28" s="63">
        <v>-49</v>
      </c>
      <c r="E28" s="32">
        <f t="shared" si="0"/>
        <v>48</v>
      </c>
      <c r="F28" s="18">
        <f t="shared" si="3"/>
        <v>5.4772636503680038E-3</v>
      </c>
      <c r="G28" s="32" t="str">
        <f t="shared" si="1"/>
        <v>Yes</v>
      </c>
      <c r="H28" s="32" t="str">
        <f t="shared" si="2"/>
        <v xml:space="preserve"> </v>
      </c>
    </row>
    <row r="29" spans="1:13" ht="15" x14ac:dyDescent="0.25">
      <c r="A29" s="60" t="s">
        <v>211</v>
      </c>
      <c r="B29" s="61">
        <v>90</v>
      </c>
      <c r="C29" s="63">
        <v>-16</v>
      </c>
      <c r="E29" s="32">
        <f t="shared" si="0"/>
        <v>74</v>
      </c>
      <c r="F29" s="18">
        <f t="shared" si="3"/>
        <v>8.4441147943173384E-3</v>
      </c>
      <c r="G29" s="32" t="str">
        <f t="shared" si="1"/>
        <v>Yes</v>
      </c>
      <c r="H29" s="32" t="str">
        <f t="shared" si="2"/>
        <v xml:space="preserve"> </v>
      </c>
    </row>
    <row r="30" spans="1:13" ht="15" x14ac:dyDescent="0.25">
      <c r="A30" s="60" t="s">
        <v>212</v>
      </c>
      <c r="B30" s="61">
        <v>35</v>
      </c>
      <c r="C30" s="63">
        <v>-6</v>
      </c>
      <c r="E30" s="32">
        <f t="shared" si="0"/>
        <v>29</v>
      </c>
      <c r="F30" s="18">
        <f t="shared" si="3"/>
        <v>3.3091801220973354E-3</v>
      </c>
      <c r="G30" s="32" t="str">
        <f t="shared" si="1"/>
        <v>Yes</v>
      </c>
      <c r="H30" s="32" t="str">
        <f t="shared" si="2"/>
        <v xml:space="preserve"> </v>
      </c>
    </row>
    <row r="31" spans="1:13" ht="15" x14ac:dyDescent="0.25">
      <c r="A31" s="60" t="s">
        <v>213</v>
      </c>
      <c r="B31" s="61">
        <v>1</v>
      </c>
      <c r="C31" s="63"/>
      <c r="E31" s="32">
        <f t="shared" si="0"/>
        <v>1</v>
      </c>
      <c r="F31" s="18">
        <f t="shared" si="3"/>
        <v>1.1410965938266674E-4</v>
      </c>
      <c r="G31" s="32" t="str">
        <f t="shared" si="1"/>
        <v>Yes</v>
      </c>
      <c r="H31" s="32" t="str">
        <f t="shared" si="2"/>
        <v xml:space="preserve"> </v>
      </c>
    </row>
    <row r="32" spans="1:13" ht="15" x14ac:dyDescent="0.25">
      <c r="A32" s="60" t="s">
        <v>214</v>
      </c>
      <c r="B32" s="61">
        <v>1</v>
      </c>
      <c r="C32" s="63"/>
      <c r="E32" s="32">
        <f t="shared" si="0"/>
        <v>1</v>
      </c>
      <c r="F32" s="18">
        <f t="shared" si="3"/>
        <v>1.1410965938266674E-4</v>
      </c>
      <c r="G32" s="32" t="str">
        <f t="shared" si="1"/>
        <v>Yes</v>
      </c>
      <c r="H32" s="32" t="str">
        <f t="shared" si="2"/>
        <v xml:space="preserve"> </v>
      </c>
    </row>
    <row r="33" spans="1:8" ht="15" x14ac:dyDescent="0.25">
      <c r="A33" s="60" t="s">
        <v>215</v>
      </c>
      <c r="B33" s="61">
        <v>4</v>
      </c>
      <c r="C33" s="63"/>
      <c r="E33" s="32">
        <f t="shared" si="0"/>
        <v>4</v>
      </c>
      <c r="F33" s="18">
        <f t="shared" si="3"/>
        <v>4.5643863753066697E-4</v>
      </c>
      <c r="G33" s="32" t="str">
        <f t="shared" si="1"/>
        <v>Yes</v>
      </c>
      <c r="H33" s="32" t="str">
        <f t="shared" si="2"/>
        <v xml:space="preserve"> </v>
      </c>
    </row>
    <row r="34" spans="1:8" ht="15" x14ac:dyDescent="0.25">
      <c r="A34" s="60" t="s">
        <v>216</v>
      </c>
      <c r="B34" s="61">
        <v>12</v>
      </c>
      <c r="C34" s="63">
        <v>-1</v>
      </c>
      <c r="E34" s="32">
        <f t="shared" si="0"/>
        <v>11</v>
      </c>
      <c r="F34" s="18">
        <f t="shared" si="3"/>
        <v>1.2552062532093342E-3</v>
      </c>
      <c r="G34" s="32" t="str">
        <f t="shared" si="1"/>
        <v>Yes</v>
      </c>
      <c r="H34" s="32" t="str">
        <f t="shared" si="2"/>
        <v>Excludes insurance claim payouts (529721 in subfund 700000 and 521900 in subfund 700001)</v>
      </c>
    </row>
    <row r="35" spans="1:8" ht="15" x14ac:dyDescent="0.25">
      <c r="A35" s="60" t="s">
        <v>217</v>
      </c>
      <c r="B35" s="61">
        <v>35</v>
      </c>
      <c r="C35" s="63"/>
      <c r="E35" s="32">
        <f t="shared" si="0"/>
        <v>35</v>
      </c>
      <c r="F35" s="18">
        <f t="shared" si="3"/>
        <v>3.9938380783933356E-3</v>
      </c>
      <c r="G35" s="32" t="str">
        <f t="shared" si="1"/>
        <v>Yes</v>
      </c>
      <c r="H35" s="32" t="str">
        <f t="shared" si="2"/>
        <v xml:space="preserve"> </v>
      </c>
    </row>
    <row r="36" spans="1:8" ht="15" x14ac:dyDescent="0.25">
      <c r="A36" s="60" t="s">
        <v>218</v>
      </c>
      <c r="B36" s="61">
        <v>78</v>
      </c>
      <c r="C36" s="63">
        <v>-1</v>
      </c>
      <c r="E36" s="32">
        <f t="shared" si="0"/>
        <v>77</v>
      </c>
      <c r="F36" s="18">
        <f t="shared" si="3"/>
        <v>8.7864437724653396E-3</v>
      </c>
      <c r="G36" s="32" t="str">
        <f t="shared" si="1"/>
        <v>Yes</v>
      </c>
      <c r="H36" s="32" t="str">
        <f t="shared" si="2"/>
        <v xml:space="preserve"> </v>
      </c>
    </row>
    <row r="37" spans="1:8" ht="15" x14ac:dyDescent="0.25">
      <c r="A37" s="60" t="s">
        <v>219</v>
      </c>
      <c r="B37" s="61">
        <v>24</v>
      </c>
      <c r="C37" s="63"/>
      <c r="E37" s="32">
        <f t="shared" si="0"/>
        <v>24</v>
      </c>
      <c r="F37" s="18">
        <f t="shared" si="3"/>
        <v>2.7386318251840019E-3</v>
      </c>
      <c r="G37" s="32" t="str">
        <f t="shared" si="1"/>
        <v>Yes</v>
      </c>
      <c r="H37" s="32" t="str">
        <f t="shared" si="2"/>
        <v xml:space="preserve"> </v>
      </c>
    </row>
    <row r="38" spans="1:8" ht="15" x14ac:dyDescent="0.25">
      <c r="A38" s="60" t="s">
        <v>220</v>
      </c>
      <c r="B38" s="61">
        <v>15</v>
      </c>
      <c r="C38" s="63">
        <v>-1</v>
      </c>
      <c r="E38" s="32">
        <f t="shared" si="0"/>
        <v>14</v>
      </c>
      <c r="F38" s="18">
        <f t="shared" si="3"/>
        <v>1.5975352313573343E-3</v>
      </c>
      <c r="G38" s="32" t="str">
        <f t="shared" si="1"/>
        <v>Yes</v>
      </c>
      <c r="H38" s="32" t="str">
        <f t="shared" si="2"/>
        <v>Excludes risk mgmt claim payouts (529700)</v>
      </c>
    </row>
    <row r="39" spans="1:8" ht="15" x14ac:dyDescent="0.25">
      <c r="A39" s="60" t="s">
        <v>221</v>
      </c>
      <c r="B39" s="61">
        <v>8</v>
      </c>
      <c r="C39" s="63">
        <v>-1</v>
      </c>
      <c r="E39" s="32">
        <f t="shared" si="0"/>
        <v>7</v>
      </c>
      <c r="F39" s="18">
        <f t="shared" si="3"/>
        <v>7.9876761567866715E-4</v>
      </c>
      <c r="G39" s="32" t="str">
        <f t="shared" si="1"/>
        <v>Yes</v>
      </c>
      <c r="H39" s="32" t="str">
        <f t="shared" si="2"/>
        <v>Excludes risk mgmt claim payouts (529700)</v>
      </c>
    </row>
    <row r="40" spans="1:8" ht="15" x14ac:dyDescent="0.25">
      <c r="A40" s="60" t="s">
        <v>222</v>
      </c>
      <c r="B40" s="61">
        <v>218</v>
      </c>
      <c r="C40" s="63">
        <v>-4</v>
      </c>
      <c r="E40" s="32">
        <f t="shared" si="0"/>
        <v>214</v>
      </c>
      <c r="F40" s="18">
        <f t="shared" si="3"/>
        <v>2.4419467107890683E-2</v>
      </c>
      <c r="G40" s="32" t="str">
        <f t="shared" si="1"/>
        <v>Yes</v>
      </c>
      <c r="H40" s="32" t="str">
        <f t="shared" si="2"/>
        <v xml:space="preserve"> </v>
      </c>
    </row>
    <row r="41" spans="1:8" ht="15" x14ac:dyDescent="0.25">
      <c r="A41" s="60" t="s">
        <v>223</v>
      </c>
      <c r="B41" s="61">
        <v>21</v>
      </c>
      <c r="C41" s="63"/>
      <c r="E41" s="32">
        <f t="shared" si="0"/>
        <v>21</v>
      </c>
      <c r="F41" s="18">
        <f t="shared" si="3"/>
        <v>2.3963028470360016E-3</v>
      </c>
      <c r="G41" s="32" t="str">
        <f t="shared" si="1"/>
        <v>Yes</v>
      </c>
      <c r="H41" s="14"/>
    </row>
    <row r="42" spans="1:8" ht="15" x14ac:dyDescent="0.25">
      <c r="A42" s="60" t="s">
        <v>224</v>
      </c>
      <c r="B42" s="61">
        <v>20</v>
      </c>
      <c r="C42" s="63">
        <v>-1</v>
      </c>
      <c r="E42" s="32">
        <f t="shared" si="0"/>
        <v>19</v>
      </c>
      <c r="F42" s="18">
        <f t="shared" si="3"/>
        <v>2.168083528270668E-3</v>
      </c>
      <c r="G42" s="32" t="str">
        <f t="shared" ref="G42" si="4">IF(VLOOKUP(A42,Model,2,FALSE)&lt;&gt;"","Yes","No")</f>
        <v>Yes</v>
      </c>
      <c r="H42" s="14"/>
    </row>
    <row r="43" spans="1:8" ht="15" x14ac:dyDescent="0.25">
      <c r="F43" s="15">
        <f>SUM(F2:F42)</f>
        <v>0.99999999999999989</v>
      </c>
    </row>
  </sheetData>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3"/>
  <sheetViews>
    <sheetView topLeftCell="A68" workbookViewId="0">
      <selection activeCell="I84" sqref="I84"/>
    </sheetView>
  </sheetViews>
  <sheetFormatPr defaultColWidth="8.7109375" defaultRowHeight="12.75" x14ac:dyDescent="0.2"/>
  <cols>
    <col min="1" max="1" width="11.5703125" style="32" bestFit="1" customWidth="1"/>
    <col min="2" max="3" width="15.28515625" style="34" bestFit="1" customWidth="1"/>
    <col min="4" max="4" width="12.42578125" style="34" bestFit="1" customWidth="1"/>
    <col min="5" max="5" width="12.7109375" style="34" bestFit="1" customWidth="1"/>
    <col min="6" max="6" width="13.28515625" style="34" bestFit="1" customWidth="1"/>
    <col min="7" max="7" width="13.7109375" style="34" bestFit="1" customWidth="1"/>
    <col min="8" max="8" width="13.28515625" style="34" bestFit="1" customWidth="1"/>
    <col min="9" max="9" width="12.42578125" style="32" bestFit="1" customWidth="1"/>
    <col min="10" max="10" width="9.28515625" style="35" bestFit="1" customWidth="1"/>
    <col min="11" max="11" width="6.7109375" style="32" bestFit="1" customWidth="1"/>
    <col min="12" max="12" width="65.7109375" style="32" bestFit="1" customWidth="1"/>
    <col min="13" max="16384" width="8.7109375" style="32"/>
  </cols>
  <sheetData>
    <row r="1" spans="1:12" ht="38.25" x14ac:dyDescent="0.2">
      <c r="A1" s="32" t="s">
        <v>226</v>
      </c>
      <c r="B1" s="23" t="s">
        <v>0</v>
      </c>
      <c r="C1" s="23" t="s">
        <v>1</v>
      </c>
      <c r="D1" s="8" t="s">
        <v>331</v>
      </c>
      <c r="E1" s="7" t="s">
        <v>330</v>
      </c>
      <c r="F1" s="7" t="s">
        <v>332</v>
      </c>
      <c r="G1" s="7" t="s">
        <v>407</v>
      </c>
      <c r="H1" s="7" t="s">
        <v>341</v>
      </c>
      <c r="I1" s="5" t="s">
        <v>334</v>
      </c>
      <c r="J1" s="13" t="s">
        <v>340</v>
      </c>
      <c r="K1" s="5" t="s">
        <v>338</v>
      </c>
      <c r="L1" s="5" t="s">
        <v>343</v>
      </c>
    </row>
    <row r="2" spans="1:12" x14ac:dyDescent="0.2">
      <c r="A2" s="32" t="s">
        <v>161</v>
      </c>
      <c r="B2" s="34">
        <v>8745340</v>
      </c>
      <c r="C2" s="34">
        <v>0</v>
      </c>
      <c r="D2" s="34">
        <f t="shared" ref="D2:D31" si="0">SUM(B2:C2)</f>
        <v>8745340</v>
      </c>
      <c r="E2" s="34">
        <f t="shared" ref="E2:E64" si="1">C2*-0.5</f>
        <v>0</v>
      </c>
      <c r="G2" s="28"/>
      <c r="H2" s="28">
        <f>-D2-E2-F2-G2</f>
        <v>-8745340</v>
      </c>
      <c r="I2" s="9">
        <f t="shared" ref="I2:I65" si="2">IF((VLOOKUP(A2,Crosswalk,2,FALSE)="Excluded"),0,(D2+E2+F2+G2+H2))</f>
        <v>0</v>
      </c>
      <c r="J2" s="40">
        <f>I2/(SUM($I$2:$I$83))</f>
        <v>0</v>
      </c>
      <c r="K2" s="32" t="str">
        <f t="shared" ref="K2:K64" si="3">IF(VLOOKUP(A2,Model,2,FALSE)&lt;&gt;"","Yes","No")</f>
        <v>Yes</v>
      </c>
      <c r="L2" s="32" t="str">
        <f t="shared" ref="L2:L64" si="4">IF((VLOOKUP(A2,Crosswalk,3,FALSE))=0," ",(VLOOKUP(A2,Crosswalk,3,FALSE)))</f>
        <v>100% Overhead</v>
      </c>
    </row>
    <row r="3" spans="1:12" x14ac:dyDescent="0.2">
      <c r="A3" s="32" t="s">
        <v>162</v>
      </c>
      <c r="B3" s="34">
        <v>6265745</v>
      </c>
      <c r="C3" s="34">
        <v>23907</v>
      </c>
      <c r="D3" s="34">
        <f t="shared" si="0"/>
        <v>6289652</v>
      </c>
      <c r="E3" s="34">
        <f t="shared" si="1"/>
        <v>-11953.5</v>
      </c>
      <c r="G3" s="28"/>
      <c r="H3" s="28">
        <f>-D3-E3-F3-G3</f>
        <v>-6277698.5</v>
      </c>
      <c r="I3" s="9">
        <f t="shared" si="2"/>
        <v>0</v>
      </c>
      <c r="J3" s="40">
        <f t="shared" ref="J3:J66" si="5">I3/(SUM($I$2:$I$83))</f>
        <v>0</v>
      </c>
      <c r="K3" s="32" t="str">
        <f t="shared" si="3"/>
        <v>Yes</v>
      </c>
      <c r="L3" s="32" t="str">
        <f t="shared" si="4"/>
        <v>Exclude IPR starting in FY 2017-18 actuals</v>
      </c>
    </row>
    <row r="4" spans="1:12" x14ac:dyDescent="0.2">
      <c r="A4" s="32" t="s">
        <v>342</v>
      </c>
      <c r="B4" s="34">
        <v>1370223</v>
      </c>
      <c r="C4" s="34">
        <v>238525</v>
      </c>
      <c r="D4" s="34">
        <f t="shared" si="0"/>
        <v>1608748</v>
      </c>
      <c r="E4" s="34">
        <f t="shared" si="1"/>
        <v>-119262.5</v>
      </c>
      <c r="G4" s="28"/>
      <c r="H4" s="28">
        <f>-D4-E4-F4-G4</f>
        <v>-1489485.5</v>
      </c>
      <c r="I4" s="9">
        <f t="shared" si="2"/>
        <v>0</v>
      </c>
      <c r="J4" s="40">
        <f t="shared" si="5"/>
        <v>0</v>
      </c>
      <c r="K4" s="32" t="str">
        <f t="shared" si="3"/>
        <v>Yes</v>
      </c>
      <c r="L4" s="32" t="str">
        <f t="shared" si="4"/>
        <v>100% Overhead</v>
      </c>
    </row>
    <row r="5" spans="1:12" x14ac:dyDescent="0.2">
      <c r="A5" s="32" t="s">
        <v>164</v>
      </c>
      <c r="B5" s="34">
        <v>1164138</v>
      </c>
      <c r="C5" s="34">
        <v>97873</v>
      </c>
      <c r="D5" s="34">
        <f t="shared" si="0"/>
        <v>1262011</v>
      </c>
      <c r="E5" s="34">
        <f t="shared" si="1"/>
        <v>-48936.5</v>
      </c>
      <c r="G5" s="28"/>
      <c r="H5" s="28">
        <f>-D5-E5-F5-G5</f>
        <v>-1213074.5</v>
      </c>
      <c r="I5" s="9">
        <f t="shared" si="2"/>
        <v>0</v>
      </c>
      <c r="J5" s="40">
        <f t="shared" si="5"/>
        <v>0</v>
      </c>
      <c r="K5" s="32" t="str">
        <f t="shared" si="3"/>
        <v>Yes</v>
      </c>
      <c r="L5" s="32" t="str">
        <f t="shared" si="4"/>
        <v>100% Overhead</v>
      </c>
    </row>
    <row r="6" spans="1:12" x14ac:dyDescent="0.2">
      <c r="A6" s="32" t="s">
        <v>165</v>
      </c>
      <c r="B6" s="34">
        <v>90071470</v>
      </c>
      <c r="C6" s="34">
        <v>51730</v>
      </c>
      <c r="D6" s="34">
        <f t="shared" si="0"/>
        <v>90123200</v>
      </c>
      <c r="E6" s="34">
        <f t="shared" si="1"/>
        <v>-25865</v>
      </c>
      <c r="G6" s="28"/>
      <c r="H6" s="28">
        <v>-111071</v>
      </c>
      <c r="I6" s="9">
        <f t="shared" si="2"/>
        <v>89986264</v>
      </c>
      <c r="J6" s="40">
        <f t="shared" si="5"/>
        <v>9.8472614525233579E-2</v>
      </c>
      <c r="K6" s="32" t="str">
        <f t="shared" si="3"/>
        <v>Yes</v>
      </c>
      <c r="L6" s="32" t="str">
        <f t="shared" si="4"/>
        <v>Exclude expenditures for emergency mgmt (FREO000004 Fund Center)</v>
      </c>
    </row>
    <row r="7" spans="1:12" x14ac:dyDescent="0.2">
      <c r="A7" s="32" t="s">
        <v>157</v>
      </c>
      <c r="B7" s="34">
        <v>1029047</v>
      </c>
      <c r="C7" s="34">
        <v>0</v>
      </c>
      <c r="D7" s="34">
        <f t="shared" si="0"/>
        <v>1029047</v>
      </c>
      <c r="E7" s="34">
        <f t="shared" si="1"/>
        <v>0</v>
      </c>
      <c r="G7" s="28"/>
      <c r="H7" s="28">
        <v>-1029047</v>
      </c>
      <c r="I7" s="9">
        <f t="shared" si="2"/>
        <v>0</v>
      </c>
      <c r="J7" s="40">
        <f t="shared" si="5"/>
        <v>0</v>
      </c>
      <c r="K7" s="32" t="str">
        <f t="shared" si="3"/>
        <v>Yes</v>
      </c>
      <c r="L7" s="32" t="str">
        <f t="shared" si="4"/>
        <v>100% Overhead</v>
      </c>
    </row>
    <row r="8" spans="1:12" x14ac:dyDescent="0.2">
      <c r="A8" s="32" t="s">
        <v>166</v>
      </c>
      <c r="B8" s="34">
        <v>11331732</v>
      </c>
      <c r="C8" s="34">
        <v>0</v>
      </c>
      <c r="D8" s="34">
        <f t="shared" si="0"/>
        <v>11331732</v>
      </c>
      <c r="E8" s="34">
        <f t="shared" si="1"/>
        <v>0</v>
      </c>
      <c r="G8" s="28"/>
      <c r="H8" s="28"/>
      <c r="I8" s="9">
        <f t="shared" si="2"/>
        <v>11331732</v>
      </c>
      <c r="J8" s="40">
        <f t="shared" si="5"/>
        <v>1.2400395655266388E-2</v>
      </c>
      <c r="K8" s="32" t="str">
        <f t="shared" si="3"/>
        <v>Yes</v>
      </c>
      <c r="L8" s="32" t="str">
        <f t="shared" si="4"/>
        <v xml:space="preserve"> </v>
      </c>
    </row>
    <row r="9" spans="1:12" x14ac:dyDescent="0.2">
      <c r="A9" s="32" t="s">
        <v>159</v>
      </c>
      <c r="B9" s="34">
        <v>29184356</v>
      </c>
      <c r="C9" s="34">
        <v>5293423</v>
      </c>
      <c r="D9" s="34">
        <f t="shared" si="0"/>
        <v>34477779</v>
      </c>
      <c r="E9" s="34">
        <f t="shared" si="1"/>
        <v>-2646711.5</v>
      </c>
      <c r="G9" s="28">
        <f>(6035/2)+(435/2)+(160953/2)+(26688/2)</f>
        <v>97055.5</v>
      </c>
      <c r="H9" s="28">
        <f>-3541649-7356954-4219760-334740-1238988-849701-621027-687533-392113</f>
        <v>-19242465</v>
      </c>
      <c r="I9" s="9">
        <f t="shared" si="2"/>
        <v>12685658</v>
      </c>
      <c r="J9" s="40">
        <f t="shared" si="5"/>
        <v>1.3882006594172479E-2</v>
      </c>
      <c r="K9" s="32" t="str">
        <f t="shared" si="3"/>
        <v>Yes</v>
      </c>
      <c r="L9" s="32" t="str">
        <f t="shared" si="4"/>
        <v>Exclude MFHR, MFDR, MFPU, MFOP, and MFFS cost centers. Beginning FY 18-19 need to also adjust for MFRB000002 functional area LACROPBAAR (accounts receiveable)</v>
      </c>
    </row>
    <row r="10" spans="1:12" x14ac:dyDescent="0.2">
      <c r="A10" s="32" t="s">
        <v>163</v>
      </c>
      <c r="B10" s="34">
        <v>2507806</v>
      </c>
      <c r="C10" s="34">
        <v>0</v>
      </c>
      <c r="D10" s="34">
        <f t="shared" si="0"/>
        <v>2507806</v>
      </c>
      <c r="E10" s="34">
        <f t="shared" si="1"/>
        <v>0</v>
      </c>
      <c r="G10" s="28"/>
      <c r="H10" s="28">
        <f>-1370199-346376</f>
        <v>-1716575</v>
      </c>
      <c r="I10" s="9">
        <f t="shared" si="2"/>
        <v>791231</v>
      </c>
      <c r="J10" s="40">
        <f t="shared" si="5"/>
        <v>8.6584976195272533E-4</v>
      </c>
      <c r="K10" s="32" t="str">
        <f t="shared" si="3"/>
        <v>Yes</v>
      </c>
      <c r="L10" s="32" t="str">
        <f t="shared" si="4"/>
        <v>Exclude expenditures for Admin &amp; Support (LAMYAS Functional Area), include only OYVP for positions</v>
      </c>
    </row>
    <row r="11" spans="1:12" x14ac:dyDescent="0.2">
      <c r="A11" s="32" t="s">
        <v>160</v>
      </c>
      <c r="B11" s="34">
        <v>6442272</v>
      </c>
      <c r="C11" s="34">
        <v>24</v>
      </c>
      <c r="D11" s="34">
        <f t="shared" si="0"/>
        <v>6442296</v>
      </c>
      <c r="E11" s="34">
        <f t="shared" si="1"/>
        <v>-12</v>
      </c>
      <c r="G11" s="28"/>
      <c r="H11" s="28">
        <f>-467823-67116</f>
        <v>-534939</v>
      </c>
      <c r="I11" s="9">
        <f t="shared" si="2"/>
        <v>5907345</v>
      </c>
      <c r="J11" s="40">
        <f t="shared" si="5"/>
        <v>6.4644500304242656E-3</v>
      </c>
      <c r="K11" s="32" t="str">
        <f t="shared" si="3"/>
        <v>Yes</v>
      </c>
      <c r="L11" s="32" t="str">
        <f t="shared" si="4"/>
        <v>Exclude expenditures for Information &amp; Referral and Public Involvement best practices (CDIR - Info &amp; Rfrrl org unit for positions, CDNRNOPI - no positions)</v>
      </c>
    </row>
    <row r="12" spans="1:12" x14ac:dyDescent="0.2">
      <c r="A12" s="32" t="s">
        <v>316</v>
      </c>
      <c r="B12" s="34">
        <v>1295364</v>
      </c>
      <c r="C12" s="34">
        <v>0</v>
      </c>
      <c r="D12" s="34">
        <f t="shared" si="0"/>
        <v>1295364</v>
      </c>
      <c r="E12" s="34">
        <f t="shared" si="1"/>
        <v>0</v>
      </c>
      <c r="G12" s="28"/>
      <c r="H12" s="28">
        <f>-683912-(683912/1295364*171388)</f>
        <v>-774399.54624646041</v>
      </c>
      <c r="I12" s="9">
        <f t="shared" si="2"/>
        <v>520964.45375353959</v>
      </c>
      <c r="J12" s="40">
        <f t="shared" si="5"/>
        <v>5.700951406963754E-4</v>
      </c>
      <c r="K12" s="32" t="str">
        <f t="shared" si="3"/>
        <v>Yes</v>
      </c>
      <c r="L12" s="32" t="str">
        <f t="shared" si="4"/>
        <v>Exclude expenditures for Citywide Equity, Civil Rights, and % admin (CDCE, CDCR &amp; portion CDAS) - use base budget for position allocations</v>
      </c>
    </row>
    <row r="13" spans="1:12" x14ac:dyDescent="0.2">
      <c r="A13" s="32" t="s">
        <v>152</v>
      </c>
      <c r="B13" s="34">
        <v>1481987</v>
      </c>
      <c r="C13" s="34">
        <v>0</v>
      </c>
      <c r="D13" s="34">
        <f t="shared" si="0"/>
        <v>1481987</v>
      </c>
      <c r="E13" s="34">
        <f t="shared" si="1"/>
        <v>0</v>
      </c>
      <c r="G13" s="90"/>
      <c r="H13" s="28">
        <v>-772302</v>
      </c>
      <c r="I13" s="9">
        <f t="shared" si="2"/>
        <v>709685</v>
      </c>
      <c r="J13" s="40">
        <f t="shared" si="5"/>
        <v>7.7661338889833671E-4</v>
      </c>
      <c r="K13" s="32" t="str">
        <f t="shared" si="3"/>
        <v>Yes</v>
      </c>
      <c r="L13" s="32" t="str">
        <f t="shared" si="4"/>
        <v>Exclude Commissioner's Office (PACO000001)</v>
      </c>
    </row>
    <row r="14" spans="1:12" x14ac:dyDescent="0.2">
      <c r="A14" s="32" t="s">
        <v>167</v>
      </c>
      <c r="B14" s="34">
        <v>54632483</v>
      </c>
      <c r="C14" s="34">
        <v>863987</v>
      </c>
      <c r="D14" s="34">
        <f t="shared" si="0"/>
        <v>55496470</v>
      </c>
      <c r="E14" s="34">
        <f t="shared" si="1"/>
        <v>-431993.5</v>
      </c>
      <c r="G14" s="28"/>
      <c r="H14" s="28"/>
      <c r="I14" s="9">
        <f t="shared" si="2"/>
        <v>55064476.5</v>
      </c>
      <c r="J14" s="40">
        <f t="shared" si="5"/>
        <v>6.0257451830851468E-2</v>
      </c>
      <c r="K14" s="32" t="str">
        <f t="shared" si="3"/>
        <v>Yes</v>
      </c>
      <c r="L14" s="32" t="str">
        <f t="shared" si="4"/>
        <v xml:space="preserve"> </v>
      </c>
    </row>
    <row r="15" spans="1:12" x14ac:dyDescent="0.2">
      <c r="A15" s="32" t="s">
        <v>168</v>
      </c>
      <c r="B15" s="34">
        <v>139540021</v>
      </c>
      <c r="C15" s="34">
        <v>152827</v>
      </c>
      <c r="D15" s="34">
        <f t="shared" si="0"/>
        <v>139692848</v>
      </c>
      <c r="E15" s="34">
        <f t="shared" si="1"/>
        <v>-76413.5</v>
      </c>
      <c r="G15" s="28"/>
      <c r="H15" s="28"/>
      <c r="I15" s="9">
        <f t="shared" si="2"/>
        <v>139616434.5</v>
      </c>
      <c r="J15" s="40">
        <f t="shared" si="5"/>
        <v>0.15278326629835443</v>
      </c>
      <c r="K15" s="32" t="str">
        <f t="shared" si="3"/>
        <v>Yes</v>
      </c>
      <c r="L15" s="32" t="str">
        <f t="shared" si="4"/>
        <v xml:space="preserve"> </v>
      </c>
    </row>
    <row r="16" spans="1:12" x14ac:dyDescent="0.2">
      <c r="A16" s="32" t="s">
        <v>151</v>
      </c>
      <c r="B16" s="34">
        <v>7319352</v>
      </c>
      <c r="C16" s="34">
        <v>0</v>
      </c>
      <c r="D16" s="34">
        <f t="shared" si="0"/>
        <v>7319352</v>
      </c>
      <c r="E16" s="34">
        <f t="shared" si="1"/>
        <v>0</v>
      </c>
      <c r="G16" s="28"/>
      <c r="H16" s="28">
        <f>-(432347+4559)/2-(548336+2608)</f>
        <v>-769397</v>
      </c>
      <c r="I16" s="9">
        <f t="shared" si="2"/>
        <v>6549955</v>
      </c>
      <c r="J16" s="40">
        <f t="shared" si="5"/>
        <v>7.1676627654263586E-3</v>
      </c>
      <c r="K16" s="32" t="str">
        <f t="shared" si="3"/>
        <v>Yes</v>
      </c>
      <c r="L16" s="32" t="str">
        <f t="shared" si="4"/>
        <v>Exclude expenditures for Comp Planning &amp; 1/2 of district liaisons (CDAPDI - Dist Plan org unit for positions, CDCPCM - use base budget for positions)</v>
      </c>
    </row>
    <row r="17" spans="1:12" x14ac:dyDescent="0.2">
      <c r="A17" s="32" t="s">
        <v>153</v>
      </c>
      <c r="B17" s="34">
        <v>690517</v>
      </c>
      <c r="C17" s="34">
        <v>0</v>
      </c>
      <c r="D17" s="34">
        <f t="shared" si="0"/>
        <v>690517</v>
      </c>
      <c r="E17" s="34">
        <f t="shared" si="1"/>
        <v>0</v>
      </c>
      <c r="G17" s="28"/>
      <c r="H17" s="28">
        <v>-690517</v>
      </c>
      <c r="I17" s="9">
        <f t="shared" si="2"/>
        <v>0</v>
      </c>
      <c r="J17" s="40">
        <f t="shared" si="5"/>
        <v>0</v>
      </c>
      <c r="K17" s="32" t="str">
        <f t="shared" si="3"/>
        <v>Yes</v>
      </c>
      <c r="L17" s="32" t="str">
        <f t="shared" si="4"/>
        <v>100% Overhead</v>
      </c>
    </row>
    <row r="18" spans="1:12" x14ac:dyDescent="0.2">
      <c r="A18" s="32" t="s">
        <v>154</v>
      </c>
      <c r="B18" s="34">
        <v>783126</v>
      </c>
      <c r="C18" s="34">
        <v>0</v>
      </c>
      <c r="D18" s="34">
        <f t="shared" si="0"/>
        <v>783126</v>
      </c>
      <c r="E18" s="34">
        <f t="shared" si="1"/>
        <v>0</v>
      </c>
      <c r="G18" s="28"/>
      <c r="H18" s="28">
        <v>-783126</v>
      </c>
      <c r="I18" s="9">
        <f t="shared" si="2"/>
        <v>0</v>
      </c>
      <c r="J18" s="40">
        <f t="shared" si="5"/>
        <v>0</v>
      </c>
      <c r="K18" s="32" t="str">
        <f t="shared" si="3"/>
        <v>Yes</v>
      </c>
      <c r="L18" s="32" t="str">
        <f t="shared" si="4"/>
        <v>100% Overhead</v>
      </c>
    </row>
    <row r="19" spans="1:12" x14ac:dyDescent="0.2">
      <c r="A19" s="32" t="s">
        <v>155</v>
      </c>
      <c r="B19" s="34">
        <v>769060</v>
      </c>
      <c r="C19" s="34">
        <v>0</v>
      </c>
      <c r="D19" s="34">
        <f t="shared" si="0"/>
        <v>769060</v>
      </c>
      <c r="E19" s="34">
        <f t="shared" si="1"/>
        <v>0</v>
      </c>
      <c r="G19" s="28"/>
      <c r="H19" s="28">
        <f t="shared" ref="H19" si="6">-D19-E19-F19-G19</f>
        <v>-769060</v>
      </c>
      <c r="I19" s="9">
        <f t="shared" si="2"/>
        <v>0</v>
      </c>
      <c r="J19" s="40">
        <f t="shared" si="5"/>
        <v>0</v>
      </c>
      <c r="K19" s="32" t="str">
        <f t="shared" si="3"/>
        <v>Yes</v>
      </c>
      <c r="L19" s="32" t="str">
        <f t="shared" si="4"/>
        <v>100% Overhead</v>
      </c>
    </row>
    <row r="20" spans="1:12" x14ac:dyDescent="0.2">
      <c r="A20" s="32" t="s">
        <v>169</v>
      </c>
      <c r="B20" s="34">
        <v>8919140</v>
      </c>
      <c r="C20" s="34">
        <v>0</v>
      </c>
      <c r="D20" s="34">
        <f t="shared" si="0"/>
        <v>8919140</v>
      </c>
      <c r="E20" s="34">
        <f t="shared" si="1"/>
        <v>0</v>
      </c>
      <c r="G20" s="28"/>
      <c r="H20" s="28">
        <v>-275680</v>
      </c>
      <c r="I20" s="9">
        <f t="shared" si="2"/>
        <v>8643460</v>
      </c>
      <c r="J20" s="40">
        <f t="shared" si="5"/>
        <v>9.4586003119795647E-3</v>
      </c>
      <c r="K20" s="32" t="str">
        <f t="shared" si="3"/>
        <v>Yes</v>
      </c>
      <c r="L20" s="32" t="str">
        <f t="shared" si="4"/>
        <v>Exclude expenditures for City memberships and dues (MFSA000002)</v>
      </c>
    </row>
    <row r="21" spans="1:12" x14ac:dyDescent="0.2">
      <c r="A21" s="32" t="s">
        <v>318</v>
      </c>
      <c r="B21" s="34">
        <v>4507920</v>
      </c>
      <c r="C21" s="34">
        <v>0</v>
      </c>
      <c r="D21" s="34">
        <f t="shared" si="0"/>
        <v>4507920</v>
      </c>
      <c r="E21" s="34">
        <f t="shared" si="1"/>
        <v>0</v>
      </c>
      <c r="G21" s="28"/>
      <c r="H21" s="28"/>
      <c r="I21" s="9">
        <f t="shared" si="2"/>
        <v>4507920</v>
      </c>
      <c r="J21" s="40">
        <f t="shared" si="5"/>
        <v>4.9330492092725508E-3</v>
      </c>
      <c r="K21" s="32" t="str">
        <f t="shared" si="3"/>
        <v>Yes</v>
      </c>
      <c r="L21" s="32" t="str">
        <f t="shared" si="4"/>
        <v xml:space="preserve"> </v>
      </c>
    </row>
    <row r="22" spans="1:12" x14ac:dyDescent="0.2">
      <c r="A22" s="32" t="s">
        <v>170</v>
      </c>
      <c r="B22" s="34">
        <v>89417081</v>
      </c>
      <c r="C22" s="34">
        <v>73810345</v>
      </c>
      <c r="D22" s="34">
        <f t="shared" si="0"/>
        <v>163227426</v>
      </c>
      <c r="E22" s="34">
        <f t="shared" si="1"/>
        <v>-36905172.5</v>
      </c>
      <c r="G22" s="28"/>
      <c r="H22" s="28"/>
      <c r="I22" s="9">
        <f t="shared" si="2"/>
        <v>126322253.5</v>
      </c>
      <c r="J22" s="40">
        <f t="shared" si="5"/>
        <v>0.13823534861792172</v>
      </c>
      <c r="K22" s="32" t="str">
        <f t="shared" si="3"/>
        <v>Yes</v>
      </c>
      <c r="L22" s="32" t="str">
        <f t="shared" si="4"/>
        <v xml:space="preserve"> </v>
      </c>
    </row>
    <row r="23" spans="1:12" x14ac:dyDescent="0.2">
      <c r="A23" s="32" t="s">
        <v>171</v>
      </c>
      <c r="B23" s="34">
        <v>14453285</v>
      </c>
      <c r="C23" s="34">
        <v>0</v>
      </c>
      <c r="D23" s="34">
        <f t="shared" si="0"/>
        <v>14453285</v>
      </c>
      <c r="E23" s="34">
        <f t="shared" si="1"/>
        <v>0</v>
      </c>
      <c r="G23" s="28"/>
      <c r="H23" s="28"/>
      <c r="I23" s="9">
        <f t="shared" si="2"/>
        <v>14453285</v>
      </c>
      <c r="J23" s="40">
        <f t="shared" si="5"/>
        <v>1.5816333506504288E-2</v>
      </c>
      <c r="K23" s="32" t="str">
        <f t="shared" si="3"/>
        <v>Yes</v>
      </c>
      <c r="L23" s="32" t="str">
        <f t="shared" si="4"/>
        <v xml:space="preserve"> </v>
      </c>
    </row>
    <row r="24" spans="1:12" x14ac:dyDescent="0.2">
      <c r="A24" s="32" t="s">
        <v>173</v>
      </c>
      <c r="B24" s="34">
        <v>24879094</v>
      </c>
      <c r="C24" s="34">
        <v>3475255</v>
      </c>
      <c r="D24" s="34">
        <f t="shared" si="0"/>
        <v>28354349</v>
      </c>
      <c r="E24" s="34">
        <f t="shared" si="1"/>
        <v>-1737627.5</v>
      </c>
      <c r="G24" s="28"/>
      <c r="H24" s="28"/>
      <c r="I24" s="9">
        <f t="shared" si="2"/>
        <v>26616721.5</v>
      </c>
      <c r="J24" s="40">
        <f t="shared" si="5"/>
        <v>2.9126869365251089E-2</v>
      </c>
      <c r="K24" s="32" t="str">
        <f t="shared" si="3"/>
        <v>Yes</v>
      </c>
      <c r="L24" s="32" t="str">
        <f t="shared" si="4"/>
        <v xml:space="preserve"> </v>
      </c>
    </row>
    <row r="25" spans="1:12" x14ac:dyDescent="0.2">
      <c r="A25" s="32" t="s">
        <v>174</v>
      </c>
      <c r="B25" s="34">
        <v>4884115</v>
      </c>
      <c r="C25" s="34">
        <v>0</v>
      </c>
      <c r="D25" s="34">
        <f t="shared" si="0"/>
        <v>4884115</v>
      </c>
      <c r="E25" s="34">
        <f t="shared" si="1"/>
        <v>0</v>
      </c>
      <c r="F25" s="28"/>
      <c r="G25" s="28">
        <f>-D25</f>
        <v>-4884115</v>
      </c>
      <c r="H25" s="28"/>
      <c r="I25" s="9">
        <f t="shared" si="2"/>
        <v>0</v>
      </c>
      <c r="J25" s="40">
        <f t="shared" si="5"/>
        <v>0</v>
      </c>
      <c r="K25" s="32" t="str">
        <f t="shared" si="3"/>
        <v>Yes</v>
      </c>
      <c r="L25" s="32" t="str">
        <f t="shared" si="4"/>
        <v>Fixed at $25,000 (hardcoded in Model)</v>
      </c>
    </row>
    <row r="26" spans="1:12" x14ac:dyDescent="0.2">
      <c r="A26" s="32" t="s">
        <v>175</v>
      </c>
      <c r="B26" s="34">
        <v>922068</v>
      </c>
      <c r="C26" s="34">
        <v>0</v>
      </c>
      <c r="D26" s="34">
        <f t="shared" si="0"/>
        <v>922068</v>
      </c>
      <c r="E26" s="34">
        <f t="shared" si="1"/>
        <v>0</v>
      </c>
      <c r="G26" s="28">
        <f t="shared" ref="G26:G27" si="7">-D26</f>
        <v>-922068</v>
      </c>
      <c r="H26" s="28"/>
      <c r="I26" s="9">
        <f t="shared" si="2"/>
        <v>0</v>
      </c>
      <c r="J26" s="40">
        <f t="shared" si="5"/>
        <v>0</v>
      </c>
      <c r="K26" s="32" t="str">
        <f t="shared" si="3"/>
        <v>Yes</v>
      </c>
      <c r="L26" s="32" t="str">
        <f t="shared" si="4"/>
        <v>Fixed at $25,000 (hardcoded in Model)</v>
      </c>
    </row>
    <row r="27" spans="1:12" x14ac:dyDescent="0.2">
      <c r="A27" s="32" t="s">
        <v>176</v>
      </c>
      <c r="B27" s="34">
        <v>12489198</v>
      </c>
      <c r="C27" s="34">
        <v>0</v>
      </c>
      <c r="D27" s="34">
        <f t="shared" si="0"/>
        <v>12489198</v>
      </c>
      <c r="E27" s="34">
        <f t="shared" si="1"/>
        <v>0</v>
      </c>
      <c r="G27" s="28">
        <f t="shared" si="7"/>
        <v>-12489198</v>
      </c>
      <c r="H27" s="28"/>
      <c r="I27" s="9">
        <f t="shared" si="2"/>
        <v>0</v>
      </c>
      <c r="J27" s="40">
        <f t="shared" si="5"/>
        <v>0</v>
      </c>
      <c r="K27" s="32" t="str">
        <f t="shared" si="3"/>
        <v>Yes</v>
      </c>
      <c r="L27" s="32" t="str">
        <f t="shared" si="4"/>
        <v>Fixed at $25,000 (hardcoded in Model)</v>
      </c>
    </row>
    <row r="28" spans="1:12" x14ac:dyDescent="0.2">
      <c r="A28" s="32" t="s">
        <v>177</v>
      </c>
      <c r="B28" s="34">
        <v>59540111</v>
      </c>
      <c r="C28" s="34">
        <v>0</v>
      </c>
      <c r="D28" s="34">
        <f t="shared" si="0"/>
        <v>59540111</v>
      </c>
      <c r="E28" s="34">
        <f t="shared" si="1"/>
        <v>0</v>
      </c>
      <c r="F28" s="28"/>
      <c r="G28" s="28"/>
      <c r="H28" s="28"/>
      <c r="I28" s="9">
        <f t="shared" si="2"/>
        <v>0</v>
      </c>
      <c r="J28" s="40">
        <f t="shared" si="5"/>
        <v>0</v>
      </c>
      <c r="K28" s="32" t="str">
        <f t="shared" si="3"/>
        <v>Yes</v>
      </c>
      <c r="L28" s="32" t="str">
        <f t="shared" si="4"/>
        <v xml:space="preserve"> </v>
      </c>
    </row>
    <row r="29" spans="1:12" x14ac:dyDescent="0.2">
      <c r="A29" s="32" t="s">
        <v>178</v>
      </c>
      <c r="B29" s="34">
        <v>1258698</v>
      </c>
      <c r="C29" s="34">
        <v>0</v>
      </c>
      <c r="D29" s="34">
        <f t="shared" si="0"/>
        <v>1258698</v>
      </c>
      <c r="E29" s="34">
        <f t="shared" si="1"/>
        <v>0</v>
      </c>
      <c r="F29" s="28"/>
      <c r="G29" s="28">
        <f>-45209/2</f>
        <v>-22604.5</v>
      </c>
      <c r="H29" s="28"/>
      <c r="I29" s="9">
        <f t="shared" si="2"/>
        <v>1236093.5</v>
      </c>
      <c r="J29" s="40">
        <f t="shared" si="5"/>
        <v>1.3526659884740501E-3</v>
      </c>
      <c r="K29" s="32" t="str">
        <f t="shared" si="3"/>
        <v>Yes</v>
      </c>
      <c r="L29" s="32" t="str">
        <f t="shared" si="4"/>
        <v>50% discount for operating projects</v>
      </c>
    </row>
    <row r="30" spans="1:12" x14ac:dyDescent="0.2">
      <c r="A30" s="32" t="s">
        <v>180</v>
      </c>
      <c r="B30" s="34">
        <v>835807</v>
      </c>
      <c r="C30" s="34">
        <v>0</v>
      </c>
      <c r="D30" s="34">
        <f t="shared" si="0"/>
        <v>835807</v>
      </c>
      <c r="E30" s="34">
        <f t="shared" si="1"/>
        <v>0</v>
      </c>
      <c r="F30" s="28"/>
      <c r="G30" s="28"/>
      <c r="H30" s="28"/>
      <c r="I30" s="9">
        <f t="shared" si="2"/>
        <v>835807</v>
      </c>
      <c r="J30" s="40">
        <f t="shared" si="5"/>
        <v>9.1462959867399214E-4</v>
      </c>
      <c r="K30" s="32" t="str">
        <f t="shared" si="3"/>
        <v>Yes</v>
      </c>
      <c r="L30" s="32" t="str">
        <f t="shared" si="4"/>
        <v xml:space="preserve"> </v>
      </c>
    </row>
    <row r="31" spans="1:12" x14ac:dyDescent="0.2">
      <c r="A31" s="32" t="s">
        <v>181</v>
      </c>
      <c r="B31" s="34">
        <v>8808304</v>
      </c>
      <c r="C31" s="34">
        <v>0</v>
      </c>
      <c r="D31" s="34">
        <f t="shared" si="0"/>
        <v>8808304</v>
      </c>
      <c r="E31" s="34">
        <f t="shared" si="1"/>
        <v>0</v>
      </c>
      <c r="G31" s="28">
        <f t="shared" ref="G31" si="8">-D31</f>
        <v>-8808304</v>
      </c>
      <c r="H31" s="28"/>
      <c r="I31" s="9">
        <f t="shared" si="2"/>
        <v>0</v>
      </c>
      <c r="J31" s="40">
        <f t="shared" si="5"/>
        <v>0</v>
      </c>
      <c r="K31" s="32" t="str">
        <f t="shared" si="3"/>
        <v>Yes</v>
      </c>
      <c r="L31" s="32" t="str">
        <f t="shared" si="4"/>
        <v>Fixed at $25,000 (hardcoded in Model)</v>
      </c>
    </row>
    <row r="32" spans="1:12" x14ac:dyDescent="0.2">
      <c r="A32" s="32" t="s">
        <v>319</v>
      </c>
      <c r="B32" s="34">
        <v>1528</v>
      </c>
      <c r="C32" s="34">
        <v>0</v>
      </c>
      <c r="D32" s="34">
        <f t="shared" ref="D32:D64" si="9">SUM(B32:C32)</f>
        <v>1528</v>
      </c>
      <c r="E32" s="34">
        <f t="shared" si="1"/>
        <v>0</v>
      </c>
      <c r="G32" s="28"/>
      <c r="H32" s="28"/>
      <c r="I32" s="9">
        <f t="shared" si="2"/>
        <v>1528</v>
      </c>
      <c r="J32" s="40">
        <f t="shared" si="5"/>
        <v>1.6721013664325138E-6</v>
      </c>
      <c r="K32" s="32" t="str">
        <f t="shared" si="3"/>
        <v>Yes</v>
      </c>
      <c r="L32" s="32" t="str">
        <f t="shared" si="4"/>
        <v xml:space="preserve"> </v>
      </c>
    </row>
    <row r="33" spans="1:12" x14ac:dyDescent="0.2">
      <c r="A33" s="32" t="s">
        <v>182</v>
      </c>
      <c r="B33" s="34">
        <v>-4</v>
      </c>
      <c r="C33" s="34">
        <v>0</v>
      </c>
      <c r="D33" s="34">
        <f t="shared" si="9"/>
        <v>-4</v>
      </c>
      <c r="E33" s="34">
        <f t="shared" si="1"/>
        <v>0</v>
      </c>
      <c r="G33" s="28"/>
      <c r="H33" s="28"/>
      <c r="I33" s="9">
        <f t="shared" si="2"/>
        <v>-4</v>
      </c>
      <c r="J33" s="40">
        <f t="shared" si="5"/>
        <v>-4.3772287079385179E-9</v>
      </c>
      <c r="K33" s="32" t="str">
        <f t="shared" si="3"/>
        <v>Yes</v>
      </c>
      <c r="L33" s="32" t="str">
        <f t="shared" si="4"/>
        <v xml:space="preserve"> </v>
      </c>
    </row>
    <row r="34" spans="1:12" x14ac:dyDescent="0.2">
      <c r="A34" s="32" t="s">
        <v>187</v>
      </c>
      <c r="B34" s="34">
        <v>3861938</v>
      </c>
      <c r="C34" s="34">
        <v>0</v>
      </c>
      <c r="D34" s="34">
        <f t="shared" si="9"/>
        <v>3861938</v>
      </c>
      <c r="E34" s="34">
        <f t="shared" si="1"/>
        <v>0</v>
      </c>
      <c r="G34" s="28"/>
      <c r="H34" s="28"/>
      <c r="I34" s="9">
        <f t="shared" si="2"/>
        <v>3861938</v>
      </c>
      <c r="J34" s="40">
        <f t="shared" si="5"/>
        <v>4.2261464704696659E-3</v>
      </c>
      <c r="K34" s="32" t="str">
        <f t="shared" si="3"/>
        <v>Yes</v>
      </c>
      <c r="L34" s="32" t="str">
        <f t="shared" si="4"/>
        <v xml:space="preserve"> </v>
      </c>
    </row>
    <row r="35" spans="1:12" x14ac:dyDescent="0.2">
      <c r="A35" s="32" t="s">
        <v>183</v>
      </c>
      <c r="B35" s="34">
        <v>452727</v>
      </c>
      <c r="C35" s="34">
        <v>847845</v>
      </c>
      <c r="D35" s="34">
        <f t="shared" si="9"/>
        <v>1300572</v>
      </c>
      <c r="E35" s="34">
        <f t="shared" si="1"/>
        <v>-423922.5</v>
      </c>
      <c r="G35" s="28"/>
      <c r="H35" s="28"/>
      <c r="I35" s="9">
        <f t="shared" si="2"/>
        <v>876649.5</v>
      </c>
      <c r="J35" s="40">
        <f t="shared" si="5"/>
        <v>9.5932383954998692E-4</v>
      </c>
      <c r="K35" s="32" t="str">
        <f t="shared" si="3"/>
        <v>Yes</v>
      </c>
      <c r="L35" s="32" t="str">
        <f t="shared" si="4"/>
        <v xml:space="preserve"> </v>
      </c>
    </row>
    <row r="36" spans="1:12" x14ac:dyDescent="0.2">
      <c r="A36" s="32" t="s">
        <v>190</v>
      </c>
      <c r="B36" s="34">
        <v>1149219</v>
      </c>
      <c r="C36" s="34">
        <v>88670</v>
      </c>
      <c r="D36" s="34">
        <f t="shared" si="9"/>
        <v>1237889</v>
      </c>
      <c r="E36" s="34">
        <f t="shared" si="1"/>
        <v>-44335</v>
      </c>
      <c r="G36" s="28"/>
      <c r="H36" s="28"/>
      <c r="I36" s="9">
        <f t="shared" si="2"/>
        <v>1193554</v>
      </c>
      <c r="J36" s="40">
        <f t="shared" si="5"/>
        <v>1.3061147083187124E-3</v>
      </c>
      <c r="K36" s="32" t="str">
        <f t="shared" si="3"/>
        <v>Yes</v>
      </c>
      <c r="L36" s="32" t="str">
        <f t="shared" si="4"/>
        <v xml:space="preserve"> </v>
      </c>
    </row>
    <row r="37" spans="1:12" x14ac:dyDescent="0.2">
      <c r="A37" s="32" t="s">
        <v>191</v>
      </c>
      <c r="B37" s="34">
        <v>4922658</v>
      </c>
      <c r="C37" s="34">
        <v>0</v>
      </c>
      <c r="D37" s="34">
        <f t="shared" si="9"/>
        <v>4922658</v>
      </c>
      <c r="E37" s="34">
        <f t="shared" si="1"/>
        <v>0</v>
      </c>
      <c r="G37" s="28"/>
      <c r="H37" s="28"/>
      <c r="I37" s="9">
        <f t="shared" si="2"/>
        <v>4922658</v>
      </c>
      <c r="J37" s="40">
        <f t="shared" si="5"/>
        <v>5.3868999792408018E-3</v>
      </c>
      <c r="K37" s="32" t="str">
        <f t="shared" si="3"/>
        <v>Yes</v>
      </c>
      <c r="L37" s="32" t="str">
        <f t="shared" si="4"/>
        <v xml:space="preserve"> </v>
      </c>
    </row>
    <row r="38" spans="1:12" x14ac:dyDescent="0.2">
      <c r="A38" s="32" t="s">
        <v>186</v>
      </c>
      <c r="B38" s="34">
        <v>29580</v>
      </c>
      <c r="C38" s="34">
        <v>625608</v>
      </c>
      <c r="D38" s="34">
        <f t="shared" si="9"/>
        <v>655188</v>
      </c>
      <c r="E38" s="34">
        <f t="shared" si="1"/>
        <v>-312804</v>
      </c>
      <c r="G38" s="28"/>
      <c r="H38" s="28"/>
      <c r="I38" s="9">
        <f t="shared" si="2"/>
        <v>342384</v>
      </c>
      <c r="J38" s="40">
        <f t="shared" si="5"/>
        <v>3.7467326848470534E-4</v>
      </c>
      <c r="K38" s="32" t="str">
        <f t="shared" si="3"/>
        <v>Yes</v>
      </c>
      <c r="L38" s="32" t="str">
        <f t="shared" si="4"/>
        <v xml:space="preserve"> </v>
      </c>
    </row>
    <row r="39" spans="1:12" x14ac:dyDescent="0.2">
      <c r="A39" s="32" t="s">
        <v>323</v>
      </c>
      <c r="B39" s="34">
        <v>39773</v>
      </c>
      <c r="C39" s="34">
        <v>0</v>
      </c>
      <c r="D39" s="34">
        <f t="shared" si="9"/>
        <v>39773</v>
      </c>
      <c r="E39" s="34">
        <f t="shared" si="1"/>
        <v>0</v>
      </c>
      <c r="G39" s="28"/>
      <c r="H39" s="28"/>
      <c r="I39" s="9">
        <f t="shared" si="2"/>
        <v>39773</v>
      </c>
      <c r="J39" s="40">
        <f t="shared" si="5"/>
        <v>4.3523879350209663E-5</v>
      </c>
      <c r="K39" s="32" t="str">
        <f t="shared" si="3"/>
        <v>Yes</v>
      </c>
      <c r="L39" s="32" t="str">
        <f t="shared" si="4"/>
        <v xml:space="preserve"> </v>
      </c>
    </row>
    <row r="40" spans="1:12" x14ac:dyDescent="0.2">
      <c r="A40" s="32" t="s">
        <v>320</v>
      </c>
      <c r="B40" s="34">
        <v>26474</v>
      </c>
      <c r="C40" s="34">
        <v>0</v>
      </c>
      <c r="D40" s="34">
        <f t="shared" si="9"/>
        <v>26474</v>
      </c>
      <c r="E40" s="34">
        <f t="shared" si="1"/>
        <v>0</v>
      </c>
      <c r="G40" s="28"/>
      <c r="H40" s="28"/>
      <c r="I40" s="9">
        <f t="shared" si="2"/>
        <v>26474</v>
      </c>
      <c r="J40" s="40">
        <f t="shared" si="5"/>
        <v>2.8970688203491077E-5</v>
      </c>
      <c r="K40" s="32" t="str">
        <f t="shared" si="3"/>
        <v>Yes</v>
      </c>
      <c r="L40" s="32" t="str">
        <f t="shared" si="4"/>
        <v xml:space="preserve"> </v>
      </c>
    </row>
    <row r="41" spans="1:12" x14ac:dyDescent="0.2">
      <c r="A41" s="32" t="s">
        <v>192</v>
      </c>
      <c r="B41" s="34">
        <v>380553</v>
      </c>
      <c r="C41" s="34">
        <v>1422779</v>
      </c>
      <c r="D41" s="34">
        <f t="shared" si="9"/>
        <v>1803332</v>
      </c>
      <c r="E41" s="34">
        <f t="shared" si="1"/>
        <v>-711389.5</v>
      </c>
      <c r="G41" s="28"/>
      <c r="H41" s="28"/>
      <c r="I41" s="9">
        <f t="shared" si="2"/>
        <v>1091942.5</v>
      </c>
      <c r="J41" s="40">
        <f t="shared" si="5"/>
        <v>1.1949205146045386E-3</v>
      </c>
      <c r="K41" s="32" t="str">
        <f t="shared" si="3"/>
        <v>Yes</v>
      </c>
      <c r="L41" s="32" t="str">
        <f t="shared" si="4"/>
        <v xml:space="preserve"> </v>
      </c>
    </row>
    <row r="42" spans="1:12" x14ac:dyDescent="0.2">
      <c r="A42" s="32" t="s">
        <v>193</v>
      </c>
      <c r="B42" s="34">
        <v>1610828</v>
      </c>
      <c r="C42" s="34">
        <v>0</v>
      </c>
      <c r="D42" s="34">
        <f t="shared" si="9"/>
        <v>1610828</v>
      </c>
      <c r="E42" s="34">
        <f t="shared" si="1"/>
        <v>0</v>
      </c>
      <c r="G42" s="28"/>
      <c r="H42" s="28"/>
      <c r="I42" s="9">
        <f t="shared" si="2"/>
        <v>1610828</v>
      </c>
      <c r="J42" s="40">
        <f t="shared" si="5"/>
        <v>1.7627406412877966E-3</v>
      </c>
      <c r="K42" s="32" t="str">
        <f t="shared" si="3"/>
        <v>Yes</v>
      </c>
      <c r="L42" s="32" t="str">
        <f t="shared" si="4"/>
        <v xml:space="preserve"> </v>
      </c>
    </row>
    <row r="43" spans="1:12" x14ac:dyDescent="0.2">
      <c r="A43" s="32" t="s">
        <v>184</v>
      </c>
      <c r="B43" s="34">
        <v>1704002</v>
      </c>
      <c r="C43" s="34">
        <v>0</v>
      </c>
      <c r="D43" s="34">
        <f t="shared" si="9"/>
        <v>1704002</v>
      </c>
      <c r="E43" s="34">
        <f t="shared" si="1"/>
        <v>0</v>
      </c>
      <c r="G43" s="28"/>
      <c r="H43" s="28"/>
      <c r="I43" s="9">
        <f t="shared" si="2"/>
        <v>1704002</v>
      </c>
      <c r="J43" s="40">
        <f t="shared" si="5"/>
        <v>1.8647016181961625E-3</v>
      </c>
      <c r="K43" s="32" t="str">
        <f t="shared" si="3"/>
        <v>Yes</v>
      </c>
      <c r="L43" s="32" t="str">
        <f t="shared" si="4"/>
        <v xml:space="preserve"> </v>
      </c>
    </row>
    <row r="44" spans="1:12" x14ac:dyDescent="0.2">
      <c r="A44" s="32" t="s">
        <v>188</v>
      </c>
      <c r="B44" s="34">
        <v>366326</v>
      </c>
      <c r="C44" s="34">
        <v>10673881</v>
      </c>
      <c r="D44" s="34">
        <f t="shared" si="9"/>
        <v>11040207</v>
      </c>
      <c r="E44" s="34">
        <f t="shared" si="1"/>
        <v>-5336940.5</v>
      </c>
      <c r="G44" s="28"/>
      <c r="H44" s="28"/>
      <c r="I44" s="9">
        <f t="shared" si="2"/>
        <v>5703266.5</v>
      </c>
      <c r="J44" s="40">
        <f t="shared" si="5"/>
        <v>6.2411254632060075E-3</v>
      </c>
      <c r="K44" s="32" t="str">
        <f t="shared" si="3"/>
        <v>Yes</v>
      </c>
      <c r="L44" s="32" t="str">
        <f t="shared" si="4"/>
        <v xml:space="preserve"> </v>
      </c>
    </row>
    <row r="45" spans="1:12" x14ac:dyDescent="0.2">
      <c r="A45" s="32" t="s">
        <v>194</v>
      </c>
      <c r="B45" s="34">
        <v>0</v>
      </c>
      <c r="C45" s="34">
        <v>213243</v>
      </c>
      <c r="D45" s="34">
        <f t="shared" si="9"/>
        <v>213243</v>
      </c>
      <c r="E45" s="34">
        <f t="shared" si="1"/>
        <v>-106621.5</v>
      </c>
      <c r="G45" s="28"/>
      <c r="H45" s="28"/>
      <c r="I45" s="9">
        <f t="shared" si="2"/>
        <v>106621.5</v>
      </c>
      <c r="J45" s="40">
        <f t="shared" si="5"/>
        <v>1.1667667267086666E-4</v>
      </c>
      <c r="K45" s="32" t="str">
        <f t="shared" si="3"/>
        <v>Yes</v>
      </c>
      <c r="L45" s="32" t="str">
        <f t="shared" si="4"/>
        <v xml:space="preserve"> </v>
      </c>
    </row>
    <row r="46" spans="1:12" x14ac:dyDescent="0.2">
      <c r="A46" s="32" t="s">
        <v>189</v>
      </c>
      <c r="B46" s="34">
        <v>352271</v>
      </c>
      <c r="C46" s="34">
        <v>0</v>
      </c>
      <c r="D46" s="34">
        <f t="shared" si="9"/>
        <v>352271</v>
      </c>
      <c r="E46" s="34">
        <f t="shared" si="1"/>
        <v>0</v>
      </c>
      <c r="G46" s="28"/>
      <c r="H46" s="28"/>
      <c r="I46" s="9">
        <f t="shared" si="2"/>
        <v>352271</v>
      </c>
      <c r="J46" s="40">
        <f t="shared" si="5"/>
        <v>3.8549268354355241E-4</v>
      </c>
      <c r="K46" s="32" t="str">
        <f t="shared" si="3"/>
        <v>Yes</v>
      </c>
      <c r="L46" s="32" t="str">
        <f t="shared" si="4"/>
        <v xml:space="preserve"> </v>
      </c>
    </row>
    <row r="47" spans="1:12" x14ac:dyDescent="0.2">
      <c r="A47" s="32" t="s">
        <v>195</v>
      </c>
      <c r="B47" s="34">
        <v>7208816</v>
      </c>
      <c r="C47" s="34">
        <v>0</v>
      </c>
      <c r="D47" s="34">
        <f t="shared" si="9"/>
        <v>7208816</v>
      </c>
      <c r="E47" s="34">
        <f t="shared" si="1"/>
        <v>0</v>
      </c>
      <c r="G47" s="28"/>
      <c r="H47" s="28"/>
      <c r="I47" s="9">
        <f t="shared" si="2"/>
        <v>7208816</v>
      </c>
      <c r="J47" s="40">
        <f t="shared" si="5"/>
        <v>7.8886590863616289E-3</v>
      </c>
      <c r="K47" s="32" t="str">
        <f t="shared" si="3"/>
        <v>Yes</v>
      </c>
      <c r="L47" s="32" t="str">
        <f t="shared" si="4"/>
        <v xml:space="preserve"> </v>
      </c>
    </row>
    <row r="48" spans="1:12" x14ac:dyDescent="0.2">
      <c r="A48" s="32" t="s">
        <v>196</v>
      </c>
      <c r="B48" s="34">
        <v>3251131</v>
      </c>
      <c r="C48" s="34">
        <v>0</v>
      </c>
      <c r="D48" s="34">
        <f t="shared" si="9"/>
        <v>3251131</v>
      </c>
      <c r="E48" s="34">
        <f t="shared" si="1"/>
        <v>0</v>
      </c>
      <c r="G48" s="28"/>
      <c r="H48" s="28"/>
      <c r="I48" s="9">
        <f t="shared" si="2"/>
        <v>3251131</v>
      </c>
      <c r="J48" s="40">
        <f t="shared" si="5"/>
        <v>3.5577359866172152E-3</v>
      </c>
      <c r="K48" s="32" t="str">
        <f t="shared" si="3"/>
        <v>Yes</v>
      </c>
      <c r="L48" s="32" t="str">
        <f t="shared" si="4"/>
        <v xml:space="preserve"> </v>
      </c>
    </row>
    <row r="49" spans="1:12" x14ac:dyDescent="0.2">
      <c r="A49" s="32" t="s">
        <v>197</v>
      </c>
      <c r="B49" s="34">
        <v>857796</v>
      </c>
      <c r="C49" s="34">
        <v>0</v>
      </c>
      <c r="D49" s="34">
        <f t="shared" si="9"/>
        <v>857796</v>
      </c>
      <c r="E49" s="34">
        <f t="shared" si="1"/>
        <v>0</v>
      </c>
      <c r="G49" s="28"/>
      <c r="H49" s="28"/>
      <c r="I49" s="9">
        <f t="shared" si="2"/>
        <v>0</v>
      </c>
      <c r="J49" s="40">
        <f t="shared" si="5"/>
        <v>0</v>
      </c>
      <c r="K49" s="32" t="str">
        <f t="shared" si="3"/>
        <v>Yes</v>
      </c>
      <c r="L49" s="32" t="str">
        <f t="shared" si="4"/>
        <v xml:space="preserve"> </v>
      </c>
    </row>
    <row r="50" spans="1:12" x14ac:dyDescent="0.2">
      <c r="A50" s="32" t="s">
        <v>198</v>
      </c>
      <c r="B50" s="34">
        <v>9422201</v>
      </c>
      <c r="C50" s="34">
        <v>0</v>
      </c>
      <c r="D50" s="34">
        <f t="shared" si="9"/>
        <v>9422201</v>
      </c>
      <c r="E50" s="34">
        <f t="shared" si="1"/>
        <v>0</v>
      </c>
      <c r="G50" s="28">
        <f>-7281177/2</f>
        <v>-3640588.5</v>
      </c>
      <c r="H50" s="28"/>
      <c r="I50" s="9">
        <f t="shared" si="2"/>
        <v>5781612.5</v>
      </c>
      <c r="J50" s="40">
        <f t="shared" si="5"/>
        <v>6.3268600532940455E-3</v>
      </c>
      <c r="K50" s="32" t="str">
        <f t="shared" si="3"/>
        <v>Yes</v>
      </c>
      <c r="L50" s="32" t="str">
        <f t="shared" si="4"/>
        <v>50% discount for operating projects</v>
      </c>
    </row>
    <row r="51" spans="1:12" x14ac:dyDescent="0.2">
      <c r="A51" s="32" t="s">
        <v>199</v>
      </c>
      <c r="B51" s="34">
        <v>473157</v>
      </c>
      <c r="C51" s="34">
        <v>0</v>
      </c>
      <c r="D51" s="34">
        <f t="shared" si="9"/>
        <v>473157</v>
      </c>
      <c r="E51" s="34">
        <f t="shared" si="1"/>
        <v>0</v>
      </c>
      <c r="G51" s="28"/>
      <c r="H51" s="28"/>
      <c r="I51" s="9">
        <f t="shared" si="2"/>
        <v>0</v>
      </c>
      <c r="J51" s="40">
        <f t="shared" si="5"/>
        <v>0</v>
      </c>
      <c r="K51" s="32" t="str">
        <f t="shared" si="3"/>
        <v>Yes</v>
      </c>
      <c r="L51" s="32" t="str">
        <f t="shared" si="4"/>
        <v xml:space="preserve"> </v>
      </c>
    </row>
    <row r="52" spans="1:12" x14ac:dyDescent="0.2">
      <c r="A52" s="32" t="s">
        <v>410</v>
      </c>
      <c r="B52" s="34">
        <v>7135082</v>
      </c>
      <c r="C52" s="34">
        <v>0</v>
      </c>
      <c r="D52" s="34">
        <f t="shared" si="9"/>
        <v>7135082</v>
      </c>
      <c r="E52" s="34">
        <f t="shared" si="1"/>
        <v>0</v>
      </c>
      <c r="G52" s="28">
        <v>-7135082</v>
      </c>
      <c r="H52" s="28"/>
      <c r="I52" s="9">
        <f t="shared" si="2"/>
        <v>0</v>
      </c>
      <c r="J52" s="40">
        <f t="shared" si="5"/>
        <v>0</v>
      </c>
      <c r="K52" s="32" t="str">
        <f t="shared" si="3"/>
        <v>Yes</v>
      </c>
      <c r="L52" s="32" t="str">
        <f t="shared" si="4"/>
        <v>Fixed at $25,000 (hardcoded in Model)</v>
      </c>
    </row>
    <row r="53" spans="1:12" x14ac:dyDescent="0.2">
      <c r="A53" s="32" t="s">
        <v>424</v>
      </c>
      <c r="B53" s="34">
        <v>705</v>
      </c>
      <c r="C53" s="34">
        <v>0</v>
      </c>
      <c r="D53" s="34">
        <f t="shared" si="9"/>
        <v>705</v>
      </c>
      <c r="E53" s="34">
        <f t="shared" si="1"/>
        <v>0</v>
      </c>
      <c r="G53" s="28"/>
      <c r="H53" s="28"/>
      <c r="I53" s="9">
        <f t="shared" si="2"/>
        <v>705</v>
      </c>
      <c r="J53" s="40">
        <f t="shared" si="5"/>
        <v>7.7148655977416375E-7</v>
      </c>
      <c r="K53" s="32" t="str">
        <f t="shared" si="3"/>
        <v>Yes</v>
      </c>
      <c r="L53" s="32" t="str">
        <f t="shared" si="4"/>
        <v xml:space="preserve"> </v>
      </c>
    </row>
    <row r="54" spans="1:12" x14ac:dyDescent="0.2">
      <c r="A54" s="32" t="s">
        <v>425</v>
      </c>
      <c r="B54" s="34">
        <v>39500</v>
      </c>
      <c r="C54" s="34">
        <v>0</v>
      </c>
      <c r="D54" s="34">
        <f t="shared" si="9"/>
        <v>39500</v>
      </c>
      <c r="E54" s="34">
        <f t="shared" si="1"/>
        <v>0</v>
      </c>
      <c r="G54" s="28"/>
      <c r="H54" s="28"/>
      <c r="I54" s="89">
        <f t="shared" si="2"/>
        <v>0</v>
      </c>
      <c r="J54" s="40">
        <f t="shared" si="5"/>
        <v>0</v>
      </c>
      <c r="K54" s="32" t="str">
        <f t="shared" si="3"/>
        <v>Yes</v>
      </c>
      <c r="L54" s="32" t="str">
        <f t="shared" si="4"/>
        <v>Debt Service related expenses</v>
      </c>
    </row>
    <row r="55" spans="1:12" x14ac:dyDescent="0.2">
      <c r="A55" s="32" t="s">
        <v>426</v>
      </c>
      <c r="B55" s="34">
        <v>65500</v>
      </c>
      <c r="C55" s="34">
        <v>0</v>
      </c>
      <c r="D55" s="34">
        <f t="shared" si="9"/>
        <v>65500</v>
      </c>
      <c r="E55" s="34">
        <f t="shared" si="1"/>
        <v>0</v>
      </c>
      <c r="G55" s="28"/>
      <c r="H55" s="28"/>
      <c r="I55" s="89">
        <f t="shared" si="2"/>
        <v>0</v>
      </c>
      <c r="J55" s="40">
        <f t="shared" si="5"/>
        <v>0</v>
      </c>
      <c r="K55" s="32" t="str">
        <f t="shared" si="3"/>
        <v>Yes</v>
      </c>
      <c r="L55" s="32" t="str">
        <f t="shared" si="4"/>
        <v>Debt Service related expenses</v>
      </c>
    </row>
    <row r="56" spans="1:12" x14ac:dyDescent="0.2">
      <c r="A56" s="32" t="s">
        <v>427</v>
      </c>
      <c r="B56" s="34">
        <v>38500</v>
      </c>
      <c r="C56" s="34">
        <v>0</v>
      </c>
      <c r="D56" s="34">
        <f t="shared" si="9"/>
        <v>38500</v>
      </c>
      <c r="E56" s="34">
        <f t="shared" si="1"/>
        <v>0</v>
      </c>
      <c r="G56" s="28"/>
      <c r="H56" s="28"/>
      <c r="I56" s="89">
        <f t="shared" si="2"/>
        <v>0</v>
      </c>
      <c r="J56" s="40">
        <f t="shared" si="5"/>
        <v>0</v>
      </c>
      <c r="K56" s="32" t="str">
        <f t="shared" si="3"/>
        <v>Yes</v>
      </c>
      <c r="L56" s="32" t="str">
        <f t="shared" si="4"/>
        <v>Debt Service related expenses</v>
      </c>
    </row>
    <row r="57" spans="1:12" x14ac:dyDescent="0.2">
      <c r="A57" s="32" t="s">
        <v>428</v>
      </c>
      <c r="B57" s="34">
        <v>34500</v>
      </c>
      <c r="C57" s="34">
        <v>0</v>
      </c>
      <c r="D57" s="34">
        <f t="shared" si="9"/>
        <v>34500</v>
      </c>
      <c r="E57" s="34">
        <f t="shared" si="1"/>
        <v>0</v>
      </c>
      <c r="G57" s="28"/>
      <c r="H57" s="28"/>
      <c r="I57" s="89">
        <f t="shared" si="2"/>
        <v>0</v>
      </c>
      <c r="J57" s="40">
        <f t="shared" si="5"/>
        <v>0</v>
      </c>
      <c r="K57" s="32" t="str">
        <f t="shared" si="3"/>
        <v>Yes</v>
      </c>
      <c r="L57" s="32" t="str">
        <f t="shared" si="4"/>
        <v>Debt Service related expenses</v>
      </c>
    </row>
    <row r="58" spans="1:12" x14ac:dyDescent="0.2">
      <c r="A58" s="32" t="s">
        <v>203</v>
      </c>
      <c r="B58" s="34">
        <v>7550</v>
      </c>
      <c r="C58" s="34">
        <v>0</v>
      </c>
      <c r="D58" s="34">
        <f t="shared" si="9"/>
        <v>7550</v>
      </c>
      <c r="E58" s="34">
        <f t="shared" si="1"/>
        <v>0</v>
      </c>
      <c r="G58" s="28"/>
      <c r="H58" s="28"/>
      <c r="I58" s="9">
        <f t="shared" si="2"/>
        <v>7550</v>
      </c>
      <c r="J58" s="40">
        <f t="shared" si="5"/>
        <v>8.2620191862339528E-6</v>
      </c>
      <c r="K58" s="32" t="str">
        <f t="shared" si="3"/>
        <v>Yes</v>
      </c>
      <c r="L58" s="32" t="str">
        <f t="shared" si="4"/>
        <v xml:space="preserve"> </v>
      </c>
    </row>
    <row r="59" spans="1:12" x14ac:dyDescent="0.2">
      <c r="A59" s="32" t="s">
        <v>204</v>
      </c>
      <c r="B59" s="34">
        <v>2725</v>
      </c>
      <c r="C59" s="34">
        <v>0</v>
      </c>
      <c r="D59" s="34">
        <f t="shared" si="9"/>
        <v>2725</v>
      </c>
      <c r="E59" s="34">
        <f t="shared" si="1"/>
        <v>0</v>
      </c>
      <c r="G59" s="28"/>
      <c r="H59" s="28"/>
      <c r="I59" s="9">
        <f t="shared" si="2"/>
        <v>2725</v>
      </c>
      <c r="J59" s="40">
        <f t="shared" si="5"/>
        <v>2.9819870572831152E-6</v>
      </c>
      <c r="K59" s="32" t="str">
        <f t="shared" si="3"/>
        <v>Yes</v>
      </c>
      <c r="L59" s="32" t="str">
        <f t="shared" si="4"/>
        <v xml:space="preserve"> </v>
      </c>
    </row>
    <row r="60" spans="1:12" x14ac:dyDescent="0.2">
      <c r="A60" s="32" t="s">
        <v>205</v>
      </c>
      <c r="B60" s="34">
        <v>744615</v>
      </c>
      <c r="C60" s="34">
        <v>15738404</v>
      </c>
      <c r="D60" s="34">
        <f t="shared" si="9"/>
        <v>16483019</v>
      </c>
      <c r="E60" s="34">
        <f t="shared" si="1"/>
        <v>-7869202</v>
      </c>
      <c r="G60" s="28"/>
      <c r="H60" s="28"/>
      <c r="I60" s="9">
        <f t="shared" si="2"/>
        <v>8613817</v>
      </c>
      <c r="J60" s="40">
        <f t="shared" si="5"/>
        <v>9.4261617643322092E-3</v>
      </c>
      <c r="K60" s="32" t="str">
        <f t="shared" si="3"/>
        <v>Yes</v>
      </c>
      <c r="L60" s="32" t="str">
        <f t="shared" si="4"/>
        <v xml:space="preserve"> </v>
      </c>
    </row>
    <row r="61" spans="1:12" x14ac:dyDescent="0.2">
      <c r="A61" s="32" t="s">
        <v>325</v>
      </c>
      <c r="B61" s="34">
        <v>0</v>
      </c>
      <c r="C61" s="34">
        <v>1127987</v>
      </c>
      <c r="D61" s="34">
        <f t="shared" si="9"/>
        <v>1127987</v>
      </c>
      <c r="E61" s="34">
        <f t="shared" si="1"/>
        <v>-563993.5</v>
      </c>
      <c r="G61" s="28"/>
      <c r="H61" s="28"/>
      <c r="I61" s="9">
        <f t="shared" si="2"/>
        <v>0</v>
      </c>
      <c r="J61" s="40">
        <f t="shared" si="5"/>
        <v>0</v>
      </c>
      <c r="K61" s="32" t="str">
        <f t="shared" si="3"/>
        <v>Yes</v>
      </c>
      <c r="L61" s="32" t="str">
        <f t="shared" si="4"/>
        <v xml:space="preserve"> </v>
      </c>
    </row>
    <row r="62" spans="1:12" x14ac:dyDescent="0.2">
      <c r="A62" s="32" t="s">
        <v>324</v>
      </c>
      <c r="B62" s="34">
        <v>175</v>
      </c>
      <c r="C62" s="34">
        <v>21391151</v>
      </c>
      <c r="D62" s="34">
        <f t="shared" si="9"/>
        <v>21391326</v>
      </c>
      <c r="E62" s="34">
        <f t="shared" si="1"/>
        <v>-10695575.5</v>
      </c>
      <c r="G62" s="28"/>
      <c r="H62" s="28"/>
      <c r="I62" s="9">
        <f t="shared" si="2"/>
        <v>0</v>
      </c>
      <c r="J62" s="40">
        <f t="shared" si="5"/>
        <v>0</v>
      </c>
      <c r="K62" s="32" t="str">
        <f t="shared" si="3"/>
        <v>Yes</v>
      </c>
      <c r="L62" s="32" t="str">
        <f t="shared" si="4"/>
        <v xml:space="preserve"> </v>
      </c>
    </row>
    <row r="63" spans="1:12" x14ac:dyDescent="0.2">
      <c r="A63" s="32" t="s">
        <v>206</v>
      </c>
      <c r="B63" s="34">
        <v>1351</v>
      </c>
      <c r="C63" s="34">
        <v>0</v>
      </c>
      <c r="D63" s="34">
        <f t="shared" si="9"/>
        <v>1351</v>
      </c>
      <c r="E63" s="34">
        <f t="shared" si="1"/>
        <v>0</v>
      </c>
      <c r="G63" s="28"/>
      <c r="H63" s="28"/>
      <c r="I63" s="9">
        <f t="shared" si="2"/>
        <v>0</v>
      </c>
      <c r="J63" s="40">
        <f t="shared" si="5"/>
        <v>0</v>
      </c>
      <c r="K63" s="32" t="str">
        <f t="shared" si="3"/>
        <v>Yes</v>
      </c>
      <c r="L63" s="32" t="str">
        <f t="shared" si="4"/>
        <v xml:space="preserve"> </v>
      </c>
    </row>
    <row r="64" spans="1:12" x14ac:dyDescent="0.2">
      <c r="A64" s="32" t="s">
        <v>207</v>
      </c>
      <c r="B64" s="34">
        <v>76328272</v>
      </c>
      <c r="C64" s="34">
        <v>94985861</v>
      </c>
      <c r="D64" s="34">
        <f t="shared" si="9"/>
        <v>171314133</v>
      </c>
      <c r="E64" s="34">
        <f t="shared" si="1"/>
        <v>-47492930.5</v>
      </c>
      <c r="G64" s="28"/>
      <c r="H64" s="28"/>
      <c r="I64" s="9">
        <f t="shared" si="2"/>
        <v>123821202.5</v>
      </c>
      <c r="J64" s="40">
        <f t="shared" si="5"/>
        <v>0.13549843055861713</v>
      </c>
      <c r="K64" s="32" t="str">
        <f t="shared" si="3"/>
        <v>Yes</v>
      </c>
      <c r="L64" s="32" t="str">
        <f t="shared" si="4"/>
        <v xml:space="preserve"> </v>
      </c>
    </row>
    <row r="65" spans="1:12" x14ac:dyDescent="0.2">
      <c r="A65" s="32" t="s">
        <v>208</v>
      </c>
      <c r="B65" s="34">
        <v>419830</v>
      </c>
      <c r="C65" s="34">
        <v>211</v>
      </c>
      <c r="D65" s="34">
        <f t="shared" ref="D65:D72" si="10">SUM(B65:C65)</f>
        <v>420041</v>
      </c>
      <c r="E65" s="34">
        <f t="shared" ref="E65:E79" si="11">C65*-0.5</f>
        <v>-105.5</v>
      </c>
      <c r="G65" s="28"/>
      <c r="H65" s="28"/>
      <c r="I65" s="9">
        <f t="shared" si="2"/>
        <v>419935.5</v>
      </c>
      <c r="J65" s="40">
        <f t="shared" si="5"/>
        <v>4.5953843152062886E-4</v>
      </c>
      <c r="K65" s="32" t="str">
        <f t="shared" ref="K65:K79" si="12">IF(VLOOKUP(A65,Model,2,FALSE)&lt;&gt;"","Yes","No")</f>
        <v>Yes</v>
      </c>
      <c r="L65" s="32" t="str">
        <f t="shared" ref="L65:L79" si="13">IF((VLOOKUP(A65,Crosswalk,3,FALSE))=0," ",(VLOOKUP(A65,Crosswalk,3,FALSE)))</f>
        <v xml:space="preserve"> </v>
      </c>
    </row>
    <row r="66" spans="1:12" x14ac:dyDescent="0.2">
      <c r="A66" s="32" t="s">
        <v>209</v>
      </c>
      <c r="B66" s="34">
        <v>51637253</v>
      </c>
      <c r="C66" s="34">
        <v>117512641</v>
      </c>
      <c r="D66" s="34">
        <f t="shared" si="10"/>
        <v>169149894</v>
      </c>
      <c r="E66" s="34">
        <f t="shared" si="11"/>
        <v>-58756320.5</v>
      </c>
      <c r="G66" s="28"/>
      <c r="H66" s="28"/>
      <c r="I66" s="9">
        <f t="shared" ref="I66:I79" si="14">IF((VLOOKUP(A66,Crosswalk,2,FALSE)="Excluded"),0,(D66+E66+F66+G66+H66))</f>
        <v>110393573.5</v>
      </c>
      <c r="J66" s="40">
        <f t="shared" si="5"/>
        <v>0.12080447977403019</v>
      </c>
      <c r="K66" s="32" t="str">
        <f t="shared" si="12"/>
        <v>Yes</v>
      </c>
      <c r="L66" s="32" t="str">
        <f t="shared" si="13"/>
        <v xml:space="preserve"> </v>
      </c>
    </row>
    <row r="67" spans="1:12" x14ac:dyDescent="0.2">
      <c r="A67" s="32" t="s">
        <v>210</v>
      </c>
      <c r="B67" s="34">
        <v>6987203</v>
      </c>
      <c r="C67" s="34">
        <v>105409</v>
      </c>
      <c r="D67" s="34">
        <f t="shared" si="10"/>
        <v>7092612</v>
      </c>
      <c r="E67" s="34">
        <f t="shared" si="11"/>
        <v>-52704.5</v>
      </c>
      <c r="G67" s="28"/>
      <c r="H67" s="28"/>
      <c r="I67" s="9">
        <f t="shared" si="14"/>
        <v>7039907.5</v>
      </c>
      <c r="J67" s="40">
        <f t="shared" ref="J67:J83" si="15">I67/(SUM($I$2:$I$83))</f>
        <v>7.7038213025579201E-3</v>
      </c>
      <c r="K67" s="32" t="str">
        <f t="shared" si="12"/>
        <v>Yes</v>
      </c>
      <c r="L67" s="32" t="str">
        <f t="shared" si="13"/>
        <v xml:space="preserve"> </v>
      </c>
    </row>
    <row r="68" spans="1:12" x14ac:dyDescent="0.2">
      <c r="A68" s="32" t="s">
        <v>211</v>
      </c>
      <c r="B68" s="34">
        <v>1251174</v>
      </c>
      <c r="C68" s="34">
        <v>0</v>
      </c>
      <c r="D68" s="34">
        <f t="shared" si="10"/>
        <v>1251174</v>
      </c>
      <c r="E68" s="34">
        <f t="shared" si="11"/>
        <v>0</v>
      </c>
      <c r="F68" s="28"/>
      <c r="G68" s="28"/>
      <c r="H68" s="28"/>
      <c r="I68" s="9">
        <f t="shared" si="14"/>
        <v>1251174</v>
      </c>
      <c r="J68" s="40">
        <f t="shared" si="15"/>
        <v>1.3691686878565667E-3</v>
      </c>
      <c r="K68" s="32" t="str">
        <f t="shared" si="12"/>
        <v>Yes</v>
      </c>
      <c r="L68" s="32" t="str">
        <f t="shared" si="13"/>
        <v xml:space="preserve"> </v>
      </c>
    </row>
    <row r="69" spans="1:12" x14ac:dyDescent="0.2">
      <c r="A69" s="32" t="s">
        <v>212</v>
      </c>
      <c r="B69" s="34">
        <v>3234201</v>
      </c>
      <c r="C69" s="34">
        <v>0</v>
      </c>
      <c r="D69" s="34">
        <f t="shared" si="10"/>
        <v>3234201</v>
      </c>
      <c r="E69" s="34">
        <f t="shared" si="11"/>
        <v>0</v>
      </c>
      <c r="F69" s="28"/>
      <c r="G69" s="28"/>
      <c r="H69" s="28"/>
      <c r="I69" s="9">
        <f t="shared" si="14"/>
        <v>3234201</v>
      </c>
      <c r="J69" s="40">
        <f t="shared" si="15"/>
        <v>3.5392093661108653E-3</v>
      </c>
      <c r="K69" s="32" t="str">
        <f t="shared" si="12"/>
        <v>Yes</v>
      </c>
      <c r="L69" s="32" t="str">
        <f t="shared" si="13"/>
        <v xml:space="preserve"> </v>
      </c>
    </row>
    <row r="70" spans="1:12" x14ac:dyDescent="0.2">
      <c r="A70" s="32" t="s">
        <v>213</v>
      </c>
      <c r="B70" s="34">
        <v>3638561</v>
      </c>
      <c r="C70" s="34">
        <v>0</v>
      </c>
      <c r="D70" s="34">
        <f t="shared" si="10"/>
        <v>3638561</v>
      </c>
      <c r="E70" s="34">
        <f t="shared" si="11"/>
        <v>0</v>
      </c>
      <c r="F70" s="28"/>
      <c r="G70" s="28"/>
      <c r="H70" s="28"/>
      <c r="I70" s="9">
        <f t="shared" si="14"/>
        <v>3638561</v>
      </c>
      <c r="J70" s="40">
        <f t="shared" si="15"/>
        <v>3.9817034161963704E-3</v>
      </c>
      <c r="K70" s="32" t="str">
        <f t="shared" si="12"/>
        <v>Yes</v>
      </c>
      <c r="L70" s="32" t="str">
        <f t="shared" si="13"/>
        <v xml:space="preserve"> </v>
      </c>
    </row>
    <row r="71" spans="1:12" x14ac:dyDescent="0.2">
      <c r="A71" s="32" t="s">
        <v>214</v>
      </c>
      <c r="B71" s="34">
        <v>2355522</v>
      </c>
      <c r="C71" s="34">
        <v>254193</v>
      </c>
      <c r="D71" s="34">
        <f t="shared" si="10"/>
        <v>2609715</v>
      </c>
      <c r="E71" s="34">
        <f t="shared" si="11"/>
        <v>-127096.5</v>
      </c>
      <c r="F71" s="28"/>
      <c r="G71" s="28"/>
      <c r="H71" s="28"/>
      <c r="I71" s="9">
        <f t="shared" si="14"/>
        <v>2482618.5</v>
      </c>
      <c r="J71" s="40">
        <f t="shared" si="15"/>
        <v>2.7167472422648152E-3</v>
      </c>
      <c r="K71" s="32" t="str">
        <f t="shared" si="12"/>
        <v>Yes</v>
      </c>
      <c r="L71" s="32" t="str">
        <f t="shared" si="13"/>
        <v xml:space="preserve"> </v>
      </c>
    </row>
    <row r="72" spans="1:12" x14ac:dyDescent="0.2">
      <c r="A72" s="32" t="s">
        <v>215</v>
      </c>
      <c r="B72" s="34">
        <v>3277513</v>
      </c>
      <c r="C72" s="34">
        <v>11801</v>
      </c>
      <c r="D72" s="34">
        <f t="shared" si="10"/>
        <v>3289314</v>
      </c>
      <c r="E72" s="34">
        <f t="shared" si="11"/>
        <v>-5900.5</v>
      </c>
      <c r="F72" s="28"/>
      <c r="G72" s="28"/>
      <c r="H72" s="28"/>
      <c r="I72" s="9">
        <f t="shared" si="14"/>
        <v>3283413.5</v>
      </c>
      <c r="J72" s="40">
        <f t="shared" si="15"/>
        <v>3.5930629580582215E-3</v>
      </c>
      <c r="K72" s="32" t="str">
        <f t="shared" si="12"/>
        <v>Yes</v>
      </c>
      <c r="L72" s="32" t="str">
        <f t="shared" si="13"/>
        <v xml:space="preserve"> </v>
      </c>
    </row>
    <row r="73" spans="1:12" x14ac:dyDescent="0.2">
      <c r="A73" s="32" t="s">
        <v>326</v>
      </c>
      <c r="B73" s="34">
        <v>175</v>
      </c>
      <c r="C73" s="34">
        <v>0</v>
      </c>
      <c r="D73" s="34">
        <f t="shared" ref="D73:D79" si="16">SUM(B73:C73)</f>
        <v>175</v>
      </c>
      <c r="E73" s="34">
        <f t="shared" si="11"/>
        <v>0</v>
      </c>
      <c r="F73" s="28"/>
      <c r="G73" s="28"/>
      <c r="H73" s="28"/>
      <c r="I73" s="9">
        <f t="shared" si="14"/>
        <v>0</v>
      </c>
      <c r="J73" s="40">
        <f t="shared" si="15"/>
        <v>0</v>
      </c>
      <c r="K73" s="32" t="str">
        <f t="shared" si="12"/>
        <v>Yes</v>
      </c>
      <c r="L73" s="32" t="str">
        <f t="shared" si="13"/>
        <v xml:space="preserve"> </v>
      </c>
    </row>
    <row r="74" spans="1:12" x14ac:dyDescent="0.2">
      <c r="A74" s="32" t="s">
        <v>216</v>
      </c>
      <c r="B74" s="34">
        <v>50541277</v>
      </c>
      <c r="C74" s="34">
        <v>0</v>
      </c>
      <c r="D74" s="34">
        <f t="shared" si="16"/>
        <v>50541277</v>
      </c>
      <c r="E74" s="34">
        <f t="shared" si="11"/>
        <v>0</v>
      </c>
      <c r="F74" s="28">
        <v>-43802484</v>
      </c>
      <c r="G74" s="28"/>
      <c r="H74" s="28"/>
      <c r="I74" s="89">
        <f t="shared" si="14"/>
        <v>6738793</v>
      </c>
      <c r="J74" s="40">
        <f t="shared" si="15"/>
        <v>7.3743095441137817E-3</v>
      </c>
      <c r="K74" s="32" t="str">
        <f t="shared" si="12"/>
        <v>Yes</v>
      </c>
      <c r="L74" s="32" t="str">
        <f t="shared" si="13"/>
        <v>Excludes insurance claim payouts (529721 in subfund 700000 and 521900 in subfund 700001)</v>
      </c>
    </row>
    <row r="75" spans="1:12" x14ac:dyDescent="0.2">
      <c r="A75" s="32" t="s">
        <v>217</v>
      </c>
      <c r="B75" s="34">
        <v>17461975</v>
      </c>
      <c r="C75" s="34">
        <v>8007072</v>
      </c>
      <c r="D75" s="34">
        <f t="shared" si="16"/>
        <v>25469047</v>
      </c>
      <c r="E75" s="34">
        <f t="shared" si="11"/>
        <v>-4003536</v>
      </c>
      <c r="F75" s="28"/>
      <c r="G75" s="28"/>
      <c r="H75" s="28"/>
      <c r="I75" s="89">
        <f t="shared" si="14"/>
        <v>21465511</v>
      </c>
      <c r="J75" s="40">
        <f t="shared" si="15"/>
        <v>2.3489862744942511E-2</v>
      </c>
      <c r="K75" s="32" t="str">
        <f t="shared" si="12"/>
        <v>Yes</v>
      </c>
      <c r="L75" s="32" t="str">
        <f t="shared" si="13"/>
        <v xml:space="preserve"> </v>
      </c>
    </row>
    <row r="76" spans="1:12" x14ac:dyDescent="0.2">
      <c r="A76" s="32" t="s">
        <v>218</v>
      </c>
      <c r="B76" s="34">
        <v>19015193</v>
      </c>
      <c r="C76" s="34">
        <v>6517852</v>
      </c>
      <c r="D76" s="34">
        <f t="shared" si="16"/>
        <v>25533045</v>
      </c>
      <c r="E76" s="34">
        <f t="shared" si="11"/>
        <v>-3258926</v>
      </c>
      <c r="F76" s="28"/>
      <c r="G76" s="28"/>
      <c r="H76" s="28"/>
      <c r="I76" s="89">
        <f t="shared" si="14"/>
        <v>22274119</v>
      </c>
      <c r="J76" s="40">
        <f t="shared" si="15"/>
        <v>2.4374728282709698E-2</v>
      </c>
      <c r="K76" s="32" t="str">
        <f t="shared" si="12"/>
        <v>Yes</v>
      </c>
      <c r="L76" s="32" t="str">
        <f t="shared" si="13"/>
        <v xml:space="preserve"> </v>
      </c>
    </row>
    <row r="77" spans="1:12" x14ac:dyDescent="0.2">
      <c r="A77" s="32" t="s">
        <v>219</v>
      </c>
      <c r="B77" s="34">
        <v>4911979</v>
      </c>
      <c r="C77" s="34">
        <v>-17204</v>
      </c>
      <c r="D77" s="34">
        <f t="shared" si="16"/>
        <v>4894775</v>
      </c>
      <c r="E77" s="34">
        <f t="shared" si="11"/>
        <v>8602</v>
      </c>
      <c r="F77" s="28"/>
      <c r="G77" s="28"/>
      <c r="H77" s="28"/>
      <c r="I77" s="89">
        <f t="shared" si="14"/>
        <v>4903377</v>
      </c>
      <c r="J77" s="40">
        <f t="shared" si="15"/>
        <v>5.3658006425613613E-3</v>
      </c>
      <c r="K77" s="32" t="str">
        <f t="shared" si="12"/>
        <v>Yes</v>
      </c>
      <c r="L77" s="32" t="str">
        <f t="shared" si="13"/>
        <v xml:space="preserve"> </v>
      </c>
    </row>
    <row r="78" spans="1:12" x14ac:dyDescent="0.2">
      <c r="A78" s="32" t="s">
        <v>220</v>
      </c>
      <c r="B78" s="34">
        <v>4817879</v>
      </c>
      <c r="C78" s="34">
        <v>220853</v>
      </c>
      <c r="D78" s="34">
        <f t="shared" si="16"/>
        <v>5038732</v>
      </c>
      <c r="E78" s="34">
        <f t="shared" si="11"/>
        <v>-110426.5</v>
      </c>
      <c r="F78" s="28">
        <v>-1781702</v>
      </c>
      <c r="G78" s="28"/>
      <c r="H78" s="28"/>
      <c r="I78" s="89">
        <f t="shared" si="14"/>
        <v>3146603.5</v>
      </c>
      <c r="J78" s="40">
        <f t="shared" si="15"/>
        <v>3.4433507931749545E-3</v>
      </c>
      <c r="K78" s="32" t="str">
        <f t="shared" si="12"/>
        <v>Yes</v>
      </c>
      <c r="L78" s="32" t="str">
        <f t="shared" si="13"/>
        <v>Excludes risk mgmt claim payouts (529700)</v>
      </c>
    </row>
    <row r="79" spans="1:12" x14ac:dyDescent="0.2">
      <c r="A79" s="32" t="s">
        <v>221</v>
      </c>
      <c r="B79" s="34">
        <v>3263249</v>
      </c>
      <c r="C79" s="34">
        <v>118853</v>
      </c>
      <c r="D79" s="34">
        <f t="shared" si="16"/>
        <v>3382102</v>
      </c>
      <c r="E79" s="34">
        <f t="shared" si="11"/>
        <v>-59426.5</v>
      </c>
      <c r="F79" s="28">
        <v>-1541899</v>
      </c>
      <c r="G79" s="28"/>
      <c r="H79" s="28"/>
      <c r="I79" s="89">
        <f t="shared" si="14"/>
        <v>1780776.5</v>
      </c>
      <c r="J79" s="40">
        <f t="shared" si="15"/>
        <v>1.9487165045555688E-3</v>
      </c>
      <c r="K79" s="32" t="str">
        <f t="shared" si="12"/>
        <v>Yes</v>
      </c>
      <c r="L79" s="32" t="str">
        <f t="shared" si="13"/>
        <v>Excludes risk mgmt claim payouts (529700)</v>
      </c>
    </row>
    <row r="80" spans="1:12" x14ac:dyDescent="0.2">
      <c r="A80" s="32" t="s">
        <v>222</v>
      </c>
      <c r="B80" s="34">
        <v>36968927</v>
      </c>
      <c r="C80" s="34">
        <v>3604385</v>
      </c>
      <c r="D80" s="34">
        <f t="shared" ref="D80:D83" si="17">SUM(B80:C80)</f>
        <v>40573312</v>
      </c>
      <c r="E80" s="34">
        <f t="shared" ref="E80:E83" si="18">C80*-0.5</f>
        <v>-1802192.5</v>
      </c>
      <c r="F80" s="28"/>
      <c r="G80" s="28"/>
      <c r="H80" s="28"/>
      <c r="I80" s="89">
        <f t="shared" ref="I80:I82" si="19">IF((VLOOKUP(A80,Crosswalk,2,FALSE)="Excluded"),0,(D80+E80+F80+G80+H80))</f>
        <v>38771119.5</v>
      </c>
      <c r="J80" s="40">
        <f t="shared" si="15"/>
        <v>4.2427514328578719E-2</v>
      </c>
      <c r="K80" s="32" t="str">
        <f t="shared" ref="K80:K83" si="20">IF(VLOOKUP(A80,Model,2,FALSE)&lt;&gt;"","Yes","No")</f>
        <v>Yes</v>
      </c>
      <c r="L80" s="32" t="str">
        <f t="shared" ref="L80:L83" si="21">IF((VLOOKUP(A80,Crosswalk,3,FALSE))=0," ",(VLOOKUP(A80,Crosswalk,3,FALSE)))</f>
        <v xml:space="preserve"> </v>
      </c>
    </row>
    <row r="81" spans="1:12" x14ac:dyDescent="0.2">
      <c r="A81" s="32" t="s">
        <v>223</v>
      </c>
      <c r="B81" s="34">
        <v>3452535</v>
      </c>
      <c r="C81" s="34">
        <v>178859</v>
      </c>
      <c r="D81" s="34">
        <f t="shared" si="17"/>
        <v>3631394</v>
      </c>
      <c r="E81" s="34">
        <f t="shared" si="18"/>
        <v>-89429.5</v>
      </c>
      <c r="G81" s="28"/>
      <c r="H81" s="28"/>
      <c r="I81" s="9">
        <f t="shared" si="19"/>
        <v>3541964.5</v>
      </c>
      <c r="J81" s="40">
        <f t="shared" si="15"/>
        <v>3.8759971729747742E-3</v>
      </c>
      <c r="K81" s="32" t="str">
        <f t="shared" si="20"/>
        <v>Yes</v>
      </c>
      <c r="L81" s="32" t="str">
        <f t="shared" si="21"/>
        <v xml:space="preserve"> </v>
      </c>
    </row>
    <row r="82" spans="1:12" x14ac:dyDescent="0.2">
      <c r="A82" s="32" t="s">
        <v>224</v>
      </c>
      <c r="B82" s="34">
        <v>113629947</v>
      </c>
      <c r="C82" s="34">
        <v>232657</v>
      </c>
      <c r="D82" s="34">
        <f t="shared" si="17"/>
        <v>113862604</v>
      </c>
      <c r="E82" s="34">
        <f t="shared" si="18"/>
        <v>-116328.5</v>
      </c>
      <c r="F82" s="34">
        <f>-103506695-7085763</f>
        <v>-110592458</v>
      </c>
      <c r="G82" s="28"/>
      <c r="H82" s="28"/>
      <c r="I82" s="9">
        <f t="shared" si="19"/>
        <v>3153817.5</v>
      </c>
      <c r="J82" s="40">
        <f t="shared" si="15"/>
        <v>3.4512451251497212E-3</v>
      </c>
      <c r="K82" s="32" t="str">
        <f t="shared" si="20"/>
        <v>Yes</v>
      </c>
      <c r="L82" s="32" t="str">
        <f t="shared" si="21"/>
        <v>Excludes retirement payouts, PERS contributions, and disability/death benefits (547000, 547100)</v>
      </c>
    </row>
    <row r="83" spans="1:12" x14ac:dyDescent="0.2">
      <c r="A83" s="32" t="s">
        <v>225</v>
      </c>
      <c r="B83" s="34">
        <v>8269</v>
      </c>
      <c r="C83" s="34">
        <v>0</v>
      </c>
      <c r="D83" s="34">
        <f t="shared" si="17"/>
        <v>8269</v>
      </c>
      <c r="E83" s="34">
        <f t="shared" si="18"/>
        <v>0</v>
      </c>
      <c r="I83" s="9">
        <v>0</v>
      </c>
      <c r="J83" s="40">
        <f t="shared" si="15"/>
        <v>0</v>
      </c>
      <c r="K83" s="32" t="str">
        <f t="shared" si="20"/>
        <v>Yes</v>
      </c>
      <c r="L83" s="32" t="str">
        <f t="shared" si="21"/>
        <v xml:space="preserve"> </v>
      </c>
    </row>
  </sheetData>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3"/>
  <sheetViews>
    <sheetView workbookViewId="0">
      <selection activeCell="B14" sqref="B14:C14"/>
    </sheetView>
  </sheetViews>
  <sheetFormatPr defaultColWidth="8.7109375" defaultRowHeight="12.75" x14ac:dyDescent="0.2"/>
  <cols>
    <col min="1" max="1" width="11.42578125" style="32" bestFit="1" customWidth="1"/>
    <col min="2" max="2" width="8.42578125" style="32" bestFit="1" customWidth="1"/>
    <col min="3" max="3" width="8.42578125" style="32" customWidth="1"/>
    <col min="4" max="4" width="12.5703125" style="34" customWidth="1"/>
    <col min="5" max="5" width="11.28515625" style="34" customWidth="1"/>
    <col min="6" max="6" width="11" style="32" customWidth="1"/>
    <col min="7" max="7" width="10.28515625" style="32" customWidth="1"/>
    <col min="8" max="8" width="9.7109375" style="32" customWidth="1"/>
    <col min="9" max="16384" width="8.7109375" style="32"/>
  </cols>
  <sheetData>
    <row r="1" spans="1:8" s="14" customFormat="1" ht="60" x14ac:dyDescent="0.25">
      <c r="A1" s="16" t="s">
        <v>226</v>
      </c>
      <c r="B1" s="21" t="s">
        <v>383</v>
      </c>
      <c r="C1" s="21" t="s">
        <v>408</v>
      </c>
      <c r="D1" s="87" t="s">
        <v>407</v>
      </c>
      <c r="E1" s="87" t="s">
        <v>384</v>
      </c>
      <c r="F1" s="17" t="s">
        <v>340</v>
      </c>
      <c r="G1" s="5" t="s">
        <v>338</v>
      </c>
      <c r="H1" s="5" t="s">
        <v>343</v>
      </c>
    </row>
    <row r="2" spans="1:8" ht="15" x14ac:dyDescent="0.25">
      <c r="A2" s="60" t="s">
        <v>161</v>
      </c>
      <c r="B2" s="61">
        <v>64</v>
      </c>
      <c r="C2" s="63">
        <v>-1</v>
      </c>
      <c r="D2" s="34">
        <v>-63</v>
      </c>
      <c r="E2" s="34">
        <f t="shared" ref="E2:E42" si="0">IF((VLOOKUP(A2,Crosswalk,2,FALSE)="Excluded"),0,(SUM(B2+C2+D2)))</f>
        <v>0</v>
      </c>
      <c r="F2" s="18">
        <f>E2/SUM($E$2:$E$42)</f>
        <v>0</v>
      </c>
      <c r="G2" s="32" t="str">
        <f t="shared" ref="G2:G42" si="1">IF(VLOOKUP(A2,Model,2,FALSE)&lt;&gt;"","Yes","No")</f>
        <v>Yes</v>
      </c>
      <c r="H2" s="32" t="str">
        <f t="shared" ref="H2:H40" si="2">IF((VLOOKUP(A2,Crosswalk,3,FALSE))=0," ",(VLOOKUP(A2,Crosswalk,3,FALSE)))</f>
        <v>100% Overhead</v>
      </c>
    </row>
    <row r="3" spans="1:8" ht="15" x14ac:dyDescent="0.25">
      <c r="A3" s="60" t="s">
        <v>162</v>
      </c>
      <c r="B3" s="61">
        <v>63</v>
      </c>
      <c r="C3" s="63">
        <v>-6</v>
      </c>
      <c r="D3" s="34">
        <v>-57</v>
      </c>
      <c r="E3" s="34">
        <f t="shared" si="0"/>
        <v>0</v>
      </c>
      <c r="F3" s="18">
        <f t="shared" ref="F3:F42" si="3">E3/SUM($E$2:$E$42)</f>
        <v>0</v>
      </c>
      <c r="G3" s="32" t="str">
        <f t="shared" si="1"/>
        <v>Yes</v>
      </c>
      <c r="H3" s="32" t="str">
        <f t="shared" si="2"/>
        <v>Exclude IPR starting in FY 2017-18 actuals</v>
      </c>
    </row>
    <row r="4" spans="1:8" ht="15" x14ac:dyDescent="0.25">
      <c r="A4" s="60" t="s">
        <v>342</v>
      </c>
      <c r="B4" s="61">
        <v>15</v>
      </c>
      <c r="C4" s="63">
        <v>-1</v>
      </c>
      <c r="D4" s="34">
        <v>-14</v>
      </c>
      <c r="E4" s="34">
        <f t="shared" si="0"/>
        <v>0</v>
      </c>
      <c r="F4" s="18">
        <f t="shared" si="3"/>
        <v>0</v>
      </c>
      <c r="G4" s="32" t="str">
        <f t="shared" si="1"/>
        <v>Yes</v>
      </c>
      <c r="H4" s="32" t="str">
        <f t="shared" si="2"/>
        <v>100% Overhead</v>
      </c>
    </row>
    <row r="5" spans="1:8" ht="15" x14ac:dyDescent="0.25">
      <c r="A5" s="60" t="s">
        <v>164</v>
      </c>
      <c r="B5" s="61">
        <v>20</v>
      </c>
      <c r="C5" s="63">
        <v>-2</v>
      </c>
      <c r="D5" s="34">
        <v>-18</v>
      </c>
      <c r="E5" s="34">
        <f t="shared" si="0"/>
        <v>0</v>
      </c>
      <c r="F5" s="18">
        <f t="shared" si="3"/>
        <v>0</v>
      </c>
      <c r="G5" s="32" t="str">
        <f t="shared" si="1"/>
        <v>Yes</v>
      </c>
      <c r="H5" s="32" t="str">
        <f t="shared" si="2"/>
        <v>100% Overhead</v>
      </c>
    </row>
    <row r="6" spans="1:8" ht="15" x14ac:dyDescent="0.25">
      <c r="A6" s="60" t="s">
        <v>165</v>
      </c>
      <c r="B6" s="61">
        <v>749</v>
      </c>
      <c r="C6" s="63">
        <v>-16</v>
      </c>
      <c r="D6" s="28">
        <v>-1</v>
      </c>
      <c r="E6" s="34">
        <f t="shared" si="0"/>
        <v>732</v>
      </c>
      <c r="F6" s="18">
        <f t="shared" si="3"/>
        <v>9.4954275514055775E-2</v>
      </c>
      <c r="G6" s="32" t="str">
        <f t="shared" si="1"/>
        <v>Yes</v>
      </c>
      <c r="H6" s="32" t="str">
        <f t="shared" si="2"/>
        <v>Exclude expenditures for emergency mgmt (FREO000004 Fund Center)</v>
      </c>
    </row>
    <row r="7" spans="1:8" ht="15" x14ac:dyDescent="0.25">
      <c r="A7" s="60" t="s">
        <v>157</v>
      </c>
      <c r="B7" s="61">
        <v>10</v>
      </c>
      <c r="C7" s="63"/>
      <c r="D7" s="34">
        <v>-10</v>
      </c>
      <c r="E7" s="34">
        <f t="shared" si="0"/>
        <v>0</v>
      </c>
      <c r="F7" s="18">
        <f t="shared" si="3"/>
        <v>0</v>
      </c>
      <c r="G7" s="32" t="str">
        <f t="shared" si="1"/>
        <v>Yes</v>
      </c>
      <c r="H7" s="32" t="str">
        <f t="shared" si="2"/>
        <v>100% Overhead</v>
      </c>
    </row>
    <row r="8" spans="1:8" ht="15" x14ac:dyDescent="0.25">
      <c r="A8" s="60" t="s">
        <v>166</v>
      </c>
      <c r="B8" s="61">
        <v>61</v>
      </c>
      <c r="C8" s="63">
        <v>-1</v>
      </c>
      <c r="D8" s="28"/>
      <c r="E8" s="34">
        <f t="shared" si="0"/>
        <v>60</v>
      </c>
      <c r="F8" s="18">
        <f t="shared" si="3"/>
        <v>7.7831373372176859E-3</v>
      </c>
      <c r="G8" s="32" t="str">
        <f t="shared" si="1"/>
        <v>Yes</v>
      </c>
      <c r="H8" s="32" t="str">
        <f t="shared" si="2"/>
        <v xml:space="preserve"> </v>
      </c>
    </row>
    <row r="9" spans="1:8" ht="15" x14ac:dyDescent="0.25">
      <c r="A9" s="60" t="s">
        <v>159</v>
      </c>
      <c r="B9" s="61">
        <v>274</v>
      </c>
      <c r="C9" s="63">
        <v>-12</v>
      </c>
      <c r="D9" s="28">
        <f>-164-11</f>
        <v>-175</v>
      </c>
      <c r="E9" s="34">
        <f t="shared" si="0"/>
        <v>87</v>
      </c>
      <c r="F9" s="18">
        <f t="shared" si="3"/>
        <v>1.1285549138965645E-2</v>
      </c>
      <c r="G9" s="32" t="str">
        <f t="shared" si="1"/>
        <v>Yes</v>
      </c>
      <c r="H9" s="32" t="str">
        <f t="shared" si="2"/>
        <v>Exclude MFHR, MFDR, MFPU, MFOP, and MFFS cost centers. Beginning FY 18-19 need to also adjust for MFRB000002 functional area LACROPBAAR (accounts receiveable)</v>
      </c>
    </row>
    <row r="10" spans="1:8" ht="15" x14ac:dyDescent="0.25">
      <c r="A10" s="60" t="s">
        <v>163</v>
      </c>
      <c r="B10" s="61">
        <v>21</v>
      </c>
      <c r="C10" s="63">
        <v>-3</v>
      </c>
      <c r="D10" s="28">
        <f>-13-3</f>
        <v>-16</v>
      </c>
      <c r="E10" s="34">
        <f t="shared" si="0"/>
        <v>2</v>
      </c>
      <c r="F10" s="18">
        <f t="shared" si="3"/>
        <v>2.5943791124058955E-4</v>
      </c>
      <c r="G10" s="32" t="str">
        <f t="shared" si="1"/>
        <v>Yes</v>
      </c>
      <c r="H10" s="32" t="str">
        <f t="shared" si="2"/>
        <v>Exclude expenditures for Admin &amp; Support (LAMYAS Functional Area), include only OYVP for positions</v>
      </c>
    </row>
    <row r="11" spans="1:8" ht="15" x14ac:dyDescent="0.25">
      <c r="A11" s="60" t="s">
        <v>160</v>
      </c>
      <c r="B11" s="61">
        <v>58</v>
      </c>
      <c r="C11" s="63">
        <v>-7</v>
      </c>
      <c r="D11" s="28">
        <v>-6</v>
      </c>
      <c r="E11" s="34">
        <f t="shared" si="0"/>
        <v>45</v>
      </c>
      <c r="F11" s="18">
        <f t="shared" si="3"/>
        <v>5.8373530029132651E-3</v>
      </c>
      <c r="G11" s="32" t="str">
        <f t="shared" si="1"/>
        <v>Yes</v>
      </c>
      <c r="H11" s="32" t="str">
        <f t="shared" si="2"/>
        <v>Exclude expenditures for Information &amp; Referral and Public Involvement best practices (CDIR - Info &amp; Rfrrl org unit for positions, CDNRNOPI - no positions)</v>
      </c>
    </row>
    <row r="12" spans="1:8" ht="15" x14ac:dyDescent="0.25">
      <c r="A12" s="60" t="s">
        <v>316</v>
      </c>
      <c r="B12" s="61">
        <v>9</v>
      </c>
      <c r="C12" s="63"/>
      <c r="D12" s="86">
        <f>-(1.1+1.8+2.4)+-(5.3/7.85*1.15)</f>
        <v>-6.0764331210191092</v>
      </c>
      <c r="E12" s="85">
        <f t="shared" si="0"/>
        <v>2.9235668789808908</v>
      </c>
      <c r="F12" s="18">
        <f t="shared" si="3"/>
        <v>3.792420422274859E-4</v>
      </c>
      <c r="G12" s="32" t="str">
        <f t="shared" si="1"/>
        <v>Yes</v>
      </c>
      <c r="H12" s="32" t="str">
        <f t="shared" si="2"/>
        <v>Exclude expenditures for Citywide Equity, Civil Rights, and % admin (CDCE, CDCR &amp; portion CDAS) - use base budget for position allocations</v>
      </c>
    </row>
    <row r="13" spans="1:8" ht="15" x14ac:dyDescent="0.25">
      <c r="A13" s="60" t="s">
        <v>152</v>
      </c>
      <c r="B13" s="61">
        <v>16</v>
      </c>
      <c r="C13" s="63">
        <v>-2</v>
      </c>
      <c r="D13" s="28">
        <f>-8-1</f>
        <v>-9</v>
      </c>
      <c r="E13" s="34">
        <f t="shared" si="0"/>
        <v>5</v>
      </c>
      <c r="F13" s="18">
        <f t="shared" si="3"/>
        <v>6.4859477810147383E-4</v>
      </c>
      <c r="G13" s="32" t="str">
        <f t="shared" si="1"/>
        <v>Yes</v>
      </c>
      <c r="H13" s="32" t="str">
        <f t="shared" si="2"/>
        <v>Exclude Commissioner's Office (PACO000001)</v>
      </c>
    </row>
    <row r="14" spans="1:8" ht="15" x14ac:dyDescent="0.25">
      <c r="A14" s="60" t="s">
        <v>167</v>
      </c>
      <c r="B14" s="61">
        <v>5205</v>
      </c>
      <c r="C14" s="63">
        <v>-2514</v>
      </c>
      <c r="E14" s="34">
        <f t="shared" si="0"/>
        <v>2691</v>
      </c>
      <c r="F14" s="18">
        <f t="shared" si="3"/>
        <v>0.34907370957421324</v>
      </c>
      <c r="G14" s="32" t="str">
        <f t="shared" si="1"/>
        <v>Yes</v>
      </c>
      <c r="H14" s="32" t="str">
        <f t="shared" si="2"/>
        <v xml:space="preserve"> </v>
      </c>
    </row>
    <row r="15" spans="1:8" ht="15" x14ac:dyDescent="0.25">
      <c r="A15" s="60" t="s">
        <v>168</v>
      </c>
      <c r="B15" s="61">
        <v>1184</v>
      </c>
      <c r="C15" s="63"/>
      <c r="D15" s="28"/>
      <c r="E15" s="34">
        <f t="shared" si="0"/>
        <v>1184</v>
      </c>
      <c r="F15" s="18">
        <f t="shared" si="3"/>
        <v>0.15358724345442901</v>
      </c>
      <c r="G15" s="32" t="str">
        <f t="shared" si="1"/>
        <v>Yes</v>
      </c>
      <c r="H15" s="32" t="str">
        <f t="shared" si="2"/>
        <v xml:space="preserve"> </v>
      </c>
    </row>
    <row r="16" spans="1:8" ht="15" x14ac:dyDescent="0.25">
      <c r="A16" s="60" t="s">
        <v>151</v>
      </c>
      <c r="B16" s="61">
        <v>91</v>
      </c>
      <c r="C16" s="63">
        <v>-6</v>
      </c>
      <c r="D16" s="28">
        <f>-(7*0.5)+-5.45</f>
        <v>-8.9499999999999993</v>
      </c>
      <c r="E16" s="34">
        <f t="shared" si="0"/>
        <v>76.05</v>
      </c>
      <c r="F16" s="18">
        <f t="shared" si="3"/>
        <v>9.8651265749234163E-3</v>
      </c>
      <c r="G16" s="32" t="str">
        <f t="shared" si="1"/>
        <v>Yes</v>
      </c>
      <c r="H16" s="32" t="str">
        <f t="shared" si="2"/>
        <v>Exclude expenditures for Comp Planning &amp; 1/2 of district liaisons (CDAPDI - Dist Plan org unit for positions, CDCPCM - use base budget for positions)</v>
      </c>
    </row>
    <row r="17" spans="1:8" ht="15" x14ac:dyDescent="0.25">
      <c r="A17" s="60" t="s">
        <v>153</v>
      </c>
      <c r="B17" s="61">
        <v>9</v>
      </c>
      <c r="C17" s="63">
        <v>-2</v>
      </c>
      <c r="D17" s="34">
        <v>-7</v>
      </c>
      <c r="E17" s="34">
        <f t="shared" si="0"/>
        <v>0</v>
      </c>
      <c r="F17" s="18">
        <f t="shared" si="3"/>
        <v>0</v>
      </c>
      <c r="G17" s="32" t="str">
        <f t="shared" si="1"/>
        <v>Yes</v>
      </c>
      <c r="H17" s="32" t="str">
        <f t="shared" si="2"/>
        <v>100% Overhead</v>
      </c>
    </row>
    <row r="18" spans="1:8" ht="15" x14ac:dyDescent="0.25">
      <c r="A18" s="60" t="s">
        <v>154</v>
      </c>
      <c r="B18" s="61">
        <v>9</v>
      </c>
      <c r="C18" s="63"/>
      <c r="D18" s="34">
        <v>-9</v>
      </c>
      <c r="E18" s="34">
        <f t="shared" si="0"/>
        <v>0</v>
      </c>
      <c r="F18" s="18">
        <f t="shared" si="3"/>
        <v>0</v>
      </c>
      <c r="G18" s="32" t="str">
        <f t="shared" si="1"/>
        <v>Yes</v>
      </c>
      <c r="H18" s="32" t="str">
        <f t="shared" si="2"/>
        <v>100% Overhead</v>
      </c>
    </row>
    <row r="19" spans="1:8" ht="15" x14ac:dyDescent="0.25">
      <c r="A19" s="60" t="s">
        <v>155</v>
      </c>
      <c r="B19" s="61">
        <v>12</v>
      </c>
      <c r="C19" s="63">
        <v>-3</v>
      </c>
      <c r="D19" s="34">
        <v>-9</v>
      </c>
      <c r="E19" s="34">
        <f t="shared" si="0"/>
        <v>0</v>
      </c>
      <c r="F19" s="18">
        <f t="shared" si="3"/>
        <v>0</v>
      </c>
      <c r="G19" s="32" t="str">
        <f t="shared" si="1"/>
        <v>Yes</v>
      </c>
      <c r="H19" s="32" t="str">
        <f t="shared" si="2"/>
        <v>100% Overhead</v>
      </c>
    </row>
    <row r="20" spans="1:8" ht="15" x14ac:dyDescent="0.25">
      <c r="A20" s="60" t="s">
        <v>170</v>
      </c>
      <c r="B20" s="61">
        <v>778</v>
      </c>
      <c r="C20" s="63">
        <v>-25</v>
      </c>
      <c r="E20" s="34">
        <f t="shared" si="0"/>
        <v>753</v>
      </c>
      <c r="F20" s="18">
        <f t="shared" si="3"/>
        <v>9.7678373582081965E-2</v>
      </c>
      <c r="G20" s="32" t="str">
        <f t="shared" si="1"/>
        <v>Yes</v>
      </c>
      <c r="H20" s="32" t="str">
        <f t="shared" si="2"/>
        <v xml:space="preserve"> </v>
      </c>
    </row>
    <row r="21" spans="1:8" ht="15" x14ac:dyDescent="0.25">
      <c r="A21" s="60" t="s">
        <v>171</v>
      </c>
      <c r="B21" s="61">
        <v>144</v>
      </c>
      <c r="C21" s="63">
        <v>-3</v>
      </c>
      <c r="E21" s="34">
        <f t="shared" si="0"/>
        <v>141</v>
      </c>
      <c r="F21" s="18">
        <f t="shared" si="3"/>
        <v>1.8290372742461564E-2</v>
      </c>
      <c r="G21" s="32" t="str">
        <f t="shared" si="1"/>
        <v>Yes</v>
      </c>
      <c r="H21" s="32" t="str">
        <f t="shared" si="2"/>
        <v xml:space="preserve"> </v>
      </c>
    </row>
    <row r="22" spans="1:8" ht="15" x14ac:dyDescent="0.25">
      <c r="A22" s="60" t="s">
        <v>173</v>
      </c>
      <c r="B22" s="61">
        <v>258</v>
      </c>
      <c r="C22" s="63">
        <v>-2</v>
      </c>
      <c r="D22" s="34">
        <v>0</v>
      </c>
      <c r="E22" s="34">
        <f t="shared" si="0"/>
        <v>256</v>
      </c>
      <c r="F22" s="18">
        <f t="shared" si="3"/>
        <v>3.3208052638795463E-2</v>
      </c>
      <c r="G22" s="32" t="str">
        <f t="shared" si="1"/>
        <v>Yes</v>
      </c>
      <c r="H22" s="32" t="str">
        <f t="shared" si="2"/>
        <v xml:space="preserve"> </v>
      </c>
    </row>
    <row r="23" spans="1:8" ht="15" x14ac:dyDescent="0.25">
      <c r="A23" s="60" t="s">
        <v>181</v>
      </c>
      <c r="B23" s="61">
        <v>5</v>
      </c>
      <c r="C23" s="63"/>
      <c r="D23" s="28">
        <v>-5</v>
      </c>
      <c r="E23" s="34">
        <f t="shared" si="0"/>
        <v>0</v>
      </c>
      <c r="F23" s="18">
        <f t="shared" si="3"/>
        <v>0</v>
      </c>
      <c r="G23" s="32" t="str">
        <f t="shared" si="1"/>
        <v>Yes</v>
      </c>
      <c r="H23" s="32" t="str">
        <f t="shared" si="2"/>
        <v>Fixed at $25,000 (hardcoded in Model)</v>
      </c>
    </row>
    <row r="24" spans="1:8" ht="15" x14ac:dyDescent="0.25">
      <c r="A24" s="60" t="s">
        <v>205</v>
      </c>
      <c r="B24" s="61">
        <v>11</v>
      </c>
      <c r="C24" s="63">
        <v>-1</v>
      </c>
      <c r="E24" s="34">
        <f t="shared" si="0"/>
        <v>10</v>
      </c>
      <c r="F24" s="18">
        <f t="shared" si="3"/>
        <v>1.2971895562029477E-3</v>
      </c>
      <c r="G24" s="32" t="str">
        <f t="shared" si="1"/>
        <v>Yes</v>
      </c>
      <c r="H24" s="32" t="str">
        <f t="shared" si="2"/>
        <v xml:space="preserve"> </v>
      </c>
    </row>
    <row r="25" spans="1:8" ht="15" x14ac:dyDescent="0.25">
      <c r="A25" s="60" t="s">
        <v>207</v>
      </c>
      <c r="B25" s="61">
        <v>591</v>
      </c>
      <c r="C25" s="63">
        <v>-39</v>
      </c>
      <c r="E25" s="34">
        <f t="shared" si="0"/>
        <v>552</v>
      </c>
      <c r="F25" s="18">
        <f t="shared" si="3"/>
        <v>7.1604863502402707E-2</v>
      </c>
      <c r="G25" s="32" t="str">
        <f t="shared" si="1"/>
        <v>Yes</v>
      </c>
      <c r="H25" s="32" t="str">
        <f t="shared" si="2"/>
        <v xml:space="preserve"> </v>
      </c>
    </row>
    <row r="26" spans="1:8" ht="15" x14ac:dyDescent="0.25">
      <c r="A26" s="60" t="s">
        <v>208</v>
      </c>
      <c r="B26" s="61">
        <v>3</v>
      </c>
      <c r="C26" s="63"/>
      <c r="E26" s="34">
        <f t="shared" si="0"/>
        <v>3</v>
      </c>
      <c r="F26" s="18">
        <f t="shared" si="3"/>
        <v>3.8915686686088433E-4</v>
      </c>
      <c r="G26" s="32" t="str">
        <f t="shared" si="1"/>
        <v>Yes</v>
      </c>
      <c r="H26" s="32" t="str">
        <f t="shared" si="2"/>
        <v xml:space="preserve"> </v>
      </c>
    </row>
    <row r="27" spans="1:8" ht="15" x14ac:dyDescent="0.25">
      <c r="A27" s="60" t="s">
        <v>209</v>
      </c>
      <c r="B27" s="61">
        <v>636</v>
      </c>
      <c r="C27" s="63">
        <v>-44</v>
      </c>
      <c r="E27" s="34">
        <f t="shared" si="0"/>
        <v>592</v>
      </c>
      <c r="F27" s="18">
        <f t="shared" si="3"/>
        <v>7.6793621727214503E-2</v>
      </c>
      <c r="G27" s="32" t="str">
        <f t="shared" si="1"/>
        <v>Yes</v>
      </c>
      <c r="H27" s="32" t="str">
        <f t="shared" si="2"/>
        <v xml:space="preserve"> </v>
      </c>
    </row>
    <row r="28" spans="1:8" ht="15" x14ac:dyDescent="0.25">
      <c r="A28" s="60" t="s">
        <v>210</v>
      </c>
      <c r="B28" s="61">
        <v>97</v>
      </c>
      <c r="C28" s="63">
        <v>-54</v>
      </c>
      <c r="E28" s="34">
        <f t="shared" si="0"/>
        <v>43</v>
      </c>
      <c r="F28" s="18">
        <f t="shared" si="3"/>
        <v>5.5779150916726748E-3</v>
      </c>
      <c r="G28" s="32" t="str">
        <f t="shared" si="1"/>
        <v>Yes</v>
      </c>
      <c r="H28" s="32" t="str">
        <f t="shared" si="2"/>
        <v xml:space="preserve"> </v>
      </c>
    </row>
    <row r="29" spans="1:8" ht="15" x14ac:dyDescent="0.25">
      <c r="A29" s="60" t="s">
        <v>211</v>
      </c>
      <c r="B29" s="61">
        <v>97</v>
      </c>
      <c r="C29" s="63">
        <v>-91</v>
      </c>
      <c r="E29" s="34">
        <f t="shared" si="0"/>
        <v>6</v>
      </c>
      <c r="F29" s="18">
        <f t="shared" si="3"/>
        <v>7.7831373372176866E-4</v>
      </c>
      <c r="G29" s="32" t="str">
        <f t="shared" si="1"/>
        <v>Yes</v>
      </c>
      <c r="H29" s="32" t="str">
        <f t="shared" si="2"/>
        <v xml:space="preserve"> </v>
      </c>
    </row>
    <row r="30" spans="1:8" ht="15" x14ac:dyDescent="0.25">
      <c r="A30" s="60" t="s">
        <v>212</v>
      </c>
      <c r="B30" s="61">
        <v>29</v>
      </c>
      <c r="C30" s="63">
        <v>-2</v>
      </c>
      <c r="E30" s="34">
        <f t="shared" si="0"/>
        <v>27</v>
      </c>
      <c r="F30" s="18">
        <f t="shared" si="3"/>
        <v>3.5024118017479588E-3</v>
      </c>
      <c r="G30" s="32" t="str">
        <f t="shared" si="1"/>
        <v>Yes</v>
      </c>
      <c r="H30" s="32" t="str">
        <f t="shared" si="2"/>
        <v xml:space="preserve"> </v>
      </c>
    </row>
    <row r="31" spans="1:8" ht="15" x14ac:dyDescent="0.25">
      <c r="A31" s="60" t="s">
        <v>213</v>
      </c>
      <c r="B31" s="61">
        <v>2</v>
      </c>
      <c r="C31" s="63"/>
      <c r="E31" s="34">
        <f t="shared" si="0"/>
        <v>2</v>
      </c>
      <c r="F31" s="18">
        <f t="shared" si="3"/>
        <v>2.5943791124058955E-4</v>
      </c>
      <c r="G31" s="32" t="str">
        <f t="shared" si="1"/>
        <v>Yes</v>
      </c>
      <c r="H31" s="32" t="str">
        <f t="shared" si="2"/>
        <v xml:space="preserve"> </v>
      </c>
    </row>
    <row r="32" spans="1:8" ht="15" x14ac:dyDescent="0.25">
      <c r="A32" s="60" t="s">
        <v>214</v>
      </c>
      <c r="B32" s="61">
        <v>2</v>
      </c>
      <c r="C32" s="63"/>
      <c r="E32" s="34">
        <f t="shared" si="0"/>
        <v>2</v>
      </c>
      <c r="F32" s="18">
        <f t="shared" si="3"/>
        <v>2.5943791124058955E-4</v>
      </c>
      <c r="G32" s="32" t="str">
        <f t="shared" si="1"/>
        <v>Yes</v>
      </c>
      <c r="H32" s="32" t="str">
        <f t="shared" si="2"/>
        <v xml:space="preserve"> </v>
      </c>
    </row>
    <row r="33" spans="1:8" ht="15" x14ac:dyDescent="0.25">
      <c r="A33" s="60" t="s">
        <v>215</v>
      </c>
      <c r="B33" s="61">
        <v>3</v>
      </c>
      <c r="C33" s="63"/>
      <c r="E33" s="34">
        <f t="shared" si="0"/>
        <v>3</v>
      </c>
      <c r="F33" s="18">
        <f t="shared" si="3"/>
        <v>3.8915686686088433E-4</v>
      </c>
      <c r="G33" s="32" t="str">
        <f t="shared" si="1"/>
        <v>Yes</v>
      </c>
      <c r="H33" s="32" t="str">
        <f t="shared" si="2"/>
        <v xml:space="preserve"> </v>
      </c>
    </row>
    <row r="34" spans="1:8" ht="15" x14ac:dyDescent="0.25">
      <c r="A34" s="60" t="s">
        <v>216</v>
      </c>
      <c r="B34" s="61">
        <v>13</v>
      </c>
      <c r="C34" s="63">
        <v>-1</v>
      </c>
      <c r="E34" s="34">
        <f t="shared" si="0"/>
        <v>12</v>
      </c>
      <c r="F34" s="18">
        <f t="shared" si="3"/>
        <v>1.5566274674435373E-3</v>
      </c>
      <c r="G34" s="32" t="str">
        <f t="shared" si="1"/>
        <v>Yes</v>
      </c>
      <c r="H34" s="32" t="str">
        <f t="shared" si="2"/>
        <v>Excludes insurance claim payouts (529721 in subfund 700000 and 521900 in subfund 700001)</v>
      </c>
    </row>
    <row r="35" spans="1:8" ht="15" x14ac:dyDescent="0.25">
      <c r="A35" s="60" t="s">
        <v>217</v>
      </c>
      <c r="B35" s="61">
        <v>38</v>
      </c>
      <c r="C35" s="63">
        <v>-1</v>
      </c>
      <c r="E35" s="34">
        <f t="shared" si="0"/>
        <v>37</v>
      </c>
      <c r="F35" s="18">
        <f t="shared" si="3"/>
        <v>4.7996013579509065E-3</v>
      </c>
      <c r="G35" s="32" t="str">
        <f t="shared" si="1"/>
        <v>Yes</v>
      </c>
      <c r="H35" s="32" t="str">
        <f t="shared" si="2"/>
        <v xml:space="preserve"> </v>
      </c>
    </row>
    <row r="36" spans="1:8" ht="15" x14ac:dyDescent="0.25">
      <c r="A36" s="60" t="s">
        <v>218</v>
      </c>
      <c r="B36" s="61">
        <v>79</v>
      </c>
      <c r="C36" s="63">
        <v>-1</v>
      </c>
      <c r="E36" s="34">
        <f t="shared" si="0"/>
        <v>78</v>
      </c>
      <c r="F36" s="18">
        <f t="shared" si="3"/>
        <v>1.0118078538382992E-2</v>
      </c>
      <c r="G36" s="32" t="str">
        <f t="shared" si="1"/>
        <v>Yes</v>
      </c>
      <c r="H36" s="32" t="str">
        <f t="shared" si="2"/>
        <v xml:space="preserve"> </v>
      </c>
    </row>
    <row r="37" spans="1:8" ht="15" x14ac:dyDescent="0.25">
      <c r="A37" s="60" t="s">
        <v>219</v>
      </c>
      <c r="B37" s="61">
        <v>24</v>
      </c>
      <c r="C37" s="63"/>
      <c r="E37" s="34">
        <f t="shared" si="0"/>
        <v>24</v>
      </c>
      <c r="F37" s="18">
        <f t="shared" si="3"/>
        <v>3.1132549348870746E-3</v>
      </c>
      <c r="G37" s="32" t="str">
        <f t="shared" si="1"/>
        <v>Yes</v>
      </c>
      <c r="H37" s="32" t="str">
        <f t="shared" si="2"/>
        <v xml:space="preserve"> </v>
      </c>
    </row>
    <row r="38" spans="1:8" ht="15" x14ac:dyDescent="0.25">
      <c r="A38" s="60" t="s">
        <v>220</v>
      </c>
      <c r="B38" s="61">
        <v>18</v>
      </c>
      <c r="C38" s="63">
        <v>-2</v>
      </c>
      <c r="E38" s="34">
        <f t="shared" si="0"/>
        <v>16</v>
      </c>
      <c r="F38" s="18">
        <f t="shared" si="3"/>
        <v>2.0755032899247164E-3</v>
      </c>
      <c r="G38" s="32" t="str">
        <f t="shared" si="1"/>
        <v>Yes</v>
      </c>
      <c r="H38" s="32" t="str">
        <f t="shared" si="2"/>
        <v>Excludes risk mgmt claim payouts (529700)</v>
      </c>
    </row>
    <row r="39" spans="1:8" ht="15" x14ac:dyDescent="0.25">
      <c r="A39" s="60" t="s">
        <v>221</v>
      </c>
      <c r="B39" s="61">
        <v>8</v>
      </c>
      <c r="C39" s="63"/>
      <c r="E39" s="34">
        <f t="shared" si="0"/>
        <v>8</v>
      </c>
      <c r="F39" s="18">
        <f t="shared" si="3"/>
        <v>1.0377516449623582E-3</v>
      </c>
      <c r="G39" s="32" t="str">
        <f t="shared" si="1"/>
        <v>Yes</v>
      </c>
      <c r="H39" s="32" t="str">
        <f t="shared" si="2"/>
        <v>Excludes risk mgmt claim payouts (529700)</v>
      </c>
    </row>
    <row r="40" spans="1:8" ht="15" x14ac:dyDescent="0.25">
      <c r="A40" s="60" t="s">
        <v>222</v>
      </c>
      <c r="B40" s="61">
        <v>224</v>
      </c>
      <c r="C40" s="63">
        <v>-3</v>
      </c>
      <c r="E40" s="34">
        <f t="shared" si="0"/>
        <v>221</v>
      </c>
      <c r="F40" s="18">
        <f t="shared" si="3"/>
        <v>2.8667889192085145E-2</v>
      </c>
      <c r="G40" s="32" t="str">
        <f t="shared" si="1"/>
        <v>Yes</v>
      </c>
      <c r="H40" s="32" t="str">
        <f t="shared" si="2"/>
        <v xml:space="preserve"> </v>
      </c>
    </row>
    <row r="41" spans="1:8" ht="15" x14ac:dyDescent="0.25">
      <c r="A41" s="60" t="s">
        <v>223</v>
      </c>
      <c r="B41" s="61">
        <v>20</v>
      </c>
      <c r="C41" s="63"/>
      <c r="E41" s="34">
        <f t="shared" si="0"/>
        <v>20</v>
      </c>
      <c r="F41" s="18">
        <f t="shared" si="3"/>
        <v>2.5943791124058953E-3</v>
      </c>
      <c r="G41" s="32" t="str">
        <f t="shared" si="1"/>
        <v>Yes</v>
      </c>
      <c r="H41" s="14"/>
    </row>
    <row r="42" spans="1:8" ht="15" x14ac:dyDescent="0.25">
      <c r="A42" s="60" t="s">
        <v>224</v>
      </c>
      <c r="B42" s="61">
        <v>20</v>
      </c>
      <c r="C42" s="63">
        <v>-2</v>
      </c>
      <c r="E42" s="34">
        <f t="shared" si="0"/>
        <v>18</v>
      </c>
      <c r="F42" s="18">
        <f t="shared" si="3"/>
        <v>2.3349412011653059E-3</v>
      </c>
      <c r="G42" s="32" t="str">
        <f t="shared" si="1"/>
        <v>Yes</v>
      </c>
      <c r="H42" s="14"/>
    </row>
    <row r="43" spans="1:8" ht="15" x14ac:dyDescent="0.25">
      <c r="F43" s="15">
        <f>SUM(F2:F42)</f>
        <v>1.0000000000000002</v>
      </c>
    </row>
  </sheetData>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80"/>
  <sheetViews>
    <sheetView workbookViewId="0">
      <selection activeCell="I81" sqref="I81"/>
    </sheetView>
  </sheetViews>
  <sheetFormatPr defaultColWidth="8.7109375" defaultRowHeight="12.75" x14ac:dyDescent="0.2"/>
  <cols>
    <col min="1" max="1" width="11.5703125" style="32" bestFit="1" customWidth="1"/>
    <col min="2" max="3" width="15.28515625" style="34" bestFit="1" customWidth="1"/>
    <col min="4" max="4" width="12.42578125" style="34" bestFit="1" customWidth="1"/>
    <col min="5" max="5" width="12.7109375" style="34" bestFit="1" customWidth="1"/>
    <col min="6" max="6" width="13.28515625" style="34" bestFit="1" customWidth="1"/>
    <col min="7" max="7" width="13.7109375" style="34" bestFit="1" customWidth="1"/>
    <col min="8" max="8" width="13.28515625" style="34" bestFit="1" customWidth="1"/>
    <col min="9" max="9" width="12.42578125" style="32" bestFit="1" customWidth="1"/>
    <col min="10" max="10" width="9.28515625" style="35" bestFit="1" customWidth="1"/>
    <col min="11" max="11" width="6.7109375" style="32" bestFit="1" customWidth="1"/>
    <col min="12" max="12" width="65.7109375" style="32" bestFit="1" customWidth="1"/>
    <col min="13" max="16384" width="8.7109375" style="32"/>
  </cols>
  <sheetData>
    <row r="1" spans="1:12" ht="38.25" x14ac:dyDescent="0.2">
      <c r="A1" s="32" t="s">
        <v>226</v>
      </c>
      <c r="B1" s="23" t="s">
        <v>0</v>
      </c>
      <c r="C1" s="23" t="s">
        <v>1</v>
      </c>
      <c r="D1" s="8" t="s">
        <v>331</v>
      </c>
      <c r="E1" s="7" t="s">
        <v>330</v>
      </c>
      <c r="F1" s="7" t="s">
        <v>332</v>
      </c>
      <c r="G1" s="7" t="s">
        <v>407</v>
      </c>
      <c r="H1" s="7" t="s">
        <v>341</v>
      </c>
      <c r="I1" s="5" t="s">
        <v>334</v>
      </c>
      <c r="J1" s="13" t="s">
        <v>340</v>
      </c>
      <c r="K1" s="5" t="s">
        <v>338</v>
      </c>
      <c r="L1" s="5" t="s">
        <v>343</v>
      </c>
    </row>
    <row r="2" spans="1:12" x14ac:dyDescent="0.2">
      <c r="A2" s="32" t="s">
        <v>161</v>
      </c>
      <c r="B2" s="34">
        <v>9969431</v>
      </c>
      <c r="C2" s="34">
        <v>0</v>
      </c>
      <c r="D2" s="34">
        <f t="shared" ref="D2:D29" si="0">SUM(B2:C2)</f>
        <v>9969431</v>
      </c>
      <c r="E2" s="34">
        <f t="shared" ref="E2:E63" si="1">C2*-0.5</f>
        <v>0</v>
      </c>
      <c r="G2" s="28"/>
      <c r="H2" s="28">
        <f>-D2-E2-F2-G2</f>
        <v>-9969431</v>
      </c>
      <c r="I2" s="9">
        <f t="shared" ref="I2:I63" si="2">IF((VLOOKUP(A2,Crosswalk,2,FALSE)="Excluded"),0,(D2+E2+F2+G2+H2))</f>
        <v>0</v>
      </c>
      <c r="J2" s="40">
        <f t="shared" ref="J2:J33" si="3">I2/(SUM($I$2:$I$80))</f>
        <v>0</v>
      </c>
      <c r="K2" s="32" t="str">
        <f t="shared" ref="K2:K63" si="4">IF(VLOOKUP(A2,Model,2,FALSE)&lt;&gt;"","Yes","No")</f>
        <v>Yes</v>
      </c>
      <c r="L2" s="32" t="str">
        <f t="shared" ref="L2:L63" si="5">IF((VLOOKUP(A2,Crosswalk,3,FALSE))=0," ",(VLOOKUP(A2,Crosswalk,3,FALSE)))</f>
        <v>100% Overhead</v>
      </c>
    </row>
    <row r="3" spans="1:12" x14ac:dyDescent="0.2">
      <c r="A3" s="32" t="s">
        <v>162</v>
      </c>
      <c r="B3" s="34">
        <v>6640926</v>
      </c>
      <c r="C3" s="34">
        <v>359761</v>
      </c>
      <c r="D3" s="34">
        <f t="shared" si="0"/>
        <v>7000687</v>
      </c>
      <c r="E3" s="34">
        <f t="shared" si="1"/>
        <v>-179880.5</v>
      </c>
      <c r="G3" s="28"/>
      <c r="H3" s="28">
        <f>-D3-E3-F3-G3</f>
        <v>-6820806.5</v>
      </c>
      <c r="I3" s="9">
        <f t="shared" si="2"/>
        <v>0</v>
      </c>
      <c r="J3" s="40">
        <f t="shared" si="3"/>
        <v>0</v>
      </c>
      <c r="K3" s="32" t="str">
        <f t="shared" si="4"/>
        <v>Yes</v>
      </c>
      <c r="L3" s="32" t="str">
        <f t="shared" si="5"/>
        <v>Exclude IPR starting in FY 2017-18 actuals</v>
      </c>
    </row>
    <row r="4" spans="1:12" x14ac:dyDescent="0.2">
      <c r="A4" s="32" t="s">
        <v>342</v>
      </c>
      <c r="B4" s="34">
        <v>1723299</v>
      </c>
      <c r="C4" s="34">
        <v>0</v>
      </c>
      <c r="D4" s="34">
        <f t="shared" si="0"/>
        <v>1723299</v>
      </c>
      <c r="E4" s="34">
        <f t="shared" si="1"/>
        <v>0</v>
      </c>
      <c r="G4" s="28"/>
      <c r="H4" s="28">
        <f>-D4-E4-F4-G4</f>
        <v>-1723299</v>
      </c>
      <c r="I4" s="9">
        <f t="shared" si="2"/>
        <v>0</v>
      </c>
      <c r="J4" s="40">
        <f t="shared" si="3"/>
        <v>0</v>
      </c>
      <c r="K4" s="32" t="str">
        <f t="shared" si="4"/>
        <v>Yes</v>
      </c>
      <c r="L4" s="32" t="str">
        <f t="shared" si="5"/>
        <v>100% Overhead</v>
      </c>
    </row>
    <row r="5" spans="1:12" x14ac:dyDescent="0.2">
      <c r="A5" s="32" t="s">
        <v>164</v>
      </c>
      <c r="B5" s="34">
        <v>1578073</v>
      </c>
      <c r="C5" s="34">
        <v>0</v>
      </c>
      <c r="D5" s="34">
        <f t="shared" si="0"/>
        <v>1578073</v>
      </c>
      <c r="E5" s="34">
        <f t="shared" si="1"/>
        <v>0</v>
      </c>
      <c r="G5" s="28"/>
      <c r="H5" s="28">
        <f>-D5-E5-F5-G5</f>
        <v>-1578073</v>
      </c>
      <c r="I5" s="9">
        <f t="shared" si="2"/>
        <v>0</v>
      </c>
      <c r="J5" s="40">
        <f t="shared" si="3"/>
        <v>0</v>
      </c>
      <c r="K5" s="32" t="str">
        <f t="shared" si="4"/>
        <v>Yes</v>
      </c>
      <c r="L5" s="32" t="str">
        <f t="shared" si="5"/>
        <v>100% Overhead</v>
      </c>
    </row>
    <row r="6" spans="1:12" x14ac:dyDescent="0.2">
      <c r="A6" s="32" t="s">
        <v>165</v>
      </c>
      <c r="B6" s="34">
        <v>96689135</v>
      </c>
      <c r="C6" s="34">
        <v>0</v>
      </c>
      <c r="D6" s="34">
        <f t="shared" si="0"/>
        <v>96689135</v>
      </c>
      <c r="E6" s="34">
        <f t="shared" si="1"/>
        <v>0</v>
      </c>
      <c r="G6" s="28"/>
      <c r="H6" s="28">
        <v>-131150</v>
      </c>
      <c r="I6" s="9">
        <f t="shared" si="2"/>
        <v>96557985</v>
      </c>
      <c r="J6" s="40">
        <f t="shared" si="3"/>
        <v>0.10301412111742106</v>
      </c>
      <c r="K6" s="32" t="str">
        <f t="shared" si="4"/>
        <v>Yes</v>
      </c>
      <c r="L6" s="32" t="str">
        <f t="shared" si="5"/>
        <v>Exclude expenditures for emergency mgmt (FREO000004 Fund Center)</v>
      </c>
    </row>
    <row r="7" spans="1:12" x14ac:dyDescent="0.2">
      <c r="A7" s="32" t="s">
        <v>157</v>
      </c>
      <c r="B7" s="34">
        <v>1214613</v>
      </c>
      <c r="C7" s="34">
        <v>0</v>
      </c>
      <c r="D7" s="34">
        <f t="shared" si="0"/>
        <v>1214613</v>
      </c>
      <c r="E7" s="34">
        <f t="shared" si="1"/>
        <v>0</v>
      </c>
      <c r="G7" s="28"/>
      <c r="H7" s="28">
        <f>-D7-E7-F7-G7</f>
        <v>-1214613</v>
      </c>
      <c r="I7" s="9">
        <f t="shared" si="2"/>
        <v>0</v>
      </c>
      <c r="J7" s="40">
        <f t="shared" si="3"/>
        <v>0</v>
      </c>
      <c r="K7" s="32" t="str">
        <f t="shared" si="4"/>
        <v>Yes</v>
      </c>
      <c r="L7" s="32" t="str">
        <f t="shared" si="5"/>
        <v>100% Overhead</v>
      </c>
    </row>
    <row r="8" spans="1:12" x14ac:dyDescent="0.2">
      <c r="A8" s="32" t="s">
        <v>166</v>
      </c>
      <c r="B8" s="34">
        <v>13619579</v>
      </c>
      <c r="C8" s="34">
        <v>0</v>
      </c>
      <c r="D8" s="34">
        <f t="shared" si="0"/>
        <v>13619579</v>
      </c>
      <c r="E8" s="34">
        <f t="shared" si="1"/>
        <v>0</v>
      </c>
      <c r="G8" s="28"/>
      <c r="H8" s="28"/>
      <c r="I8" s="9">
        <f t="shared" si="2"/>
        <v>13619579</v>
      </c>
      <c r="J8" s="40">
        <f t="shared" si="3"/>
        <v>1.4530222028497016E-2</v>
      </c>
      <c r="K8" s="32" t="str">
        <f t="shared" si="4"/>
        <v>Yes</v>
      </c>
      <c r="L8" s="32" t="str">
        <f t="shared" si="5"/>
        <v xml:space="preserve"> </v>
      </c>
    </row>
    <row r="9" spans="1:12" x14ac:dyDescent="0.2">
      <c r="A9" s="32" t="s">
        <v>159</v>
      </c>
      <c r="B9" s="28">
        <v>29543032</v>
      </c>
      <c r="C9" s="28">
        <v>4720767</v>
      </c>
      <c r="D9" s="34">
        <f t="shared" si="0"/>
        <v>34263799</v>
      </c>
      <c r="E9" s="34">
        <f t="shared" si="1"/>
        <v>-2360383.5</v>
      </c>
      <c r="G9" s="28">
        <f>(425767/2)+(87546/2)+(1609/2)+(76041/2)+(1110/2)</f>
        <v>296036.5</v>
      </c>
      <c r="H9" s="28">
        <f>-3702221-7768789-101481-354790-907986-892787-704173-864202-458101-4291111-443351</f>
        <v>-20488992</v>
      </c>
      <c r="I9" s="9">
        <f t="shared" si="2"/>
        <v>11710460</v>
      </c>
      <c r="J9" s="40">
        <f t="shared" si="3"/>
        <v>1.2493454008808434E-2</v>
      </c>
      <c r="K9" s="32" t="str">
        <f t="shared" si="4"/>
        <v>Yes</v>
      </c>
      <c r="L9" s="32" t="str">
        <f t="shared" si="5"/>
        <v>Exclude MFHR, MFDR, MFPU, MFOP, and MFFS cost centers. Beginning FY 18-19 need to also adjust for MFRB000002 functional area LACROPBAAR (accounts receiveable)</v>
      </c>
    </row>
    <row r="10" spans="1:12" x14ac:dyDescent="0.2">
      <c r="A10" s="32" t="s">
        <v>163</v>
      </c>
      <c r="B10" s="28">
        <v>2221788</v>
      </c>
      <c r="C10" s="28">
        <v>0</v>
      </c>
      <c r="D10" s="34">
        <f t="shared" si="0"/>
        <v>2221788</v>
      </c>
      <c r="E10" s="34">
        <f t="shared" si="1"/>
        <v>0</v>
      </c>
      <c r="G10" s="28">
        <f>200000+180000+1800</f>
        <v>381800</v>
      </c>
      <c r="H10" s="28">
        <f>-D10-E10-F10</f>
        <v>-2221788</v>
      </c>
      <c r="I10" s="9">
        <f t="shared" si="2"/>
        <v>381800</v>
      </c>
      <c r="J10" s="40">
        <f t="shared" si="3"/>
        <v>4.0732821260335293E-4</v>
      </c>
      <c r="K10" s="32" t="str">
        <f t="shared" si="4"/>
        <v>Yes</v>
      </c>
      <c r="L10" s="32" t="str">
        <f t="shared" si="5"/>
        <v>Exclude expenditures for Admin &amp; Support (LAMYAS Functional Area), include only OYVP for positions</v>
      </c>
    </row>
    <row r="11" spans="1:12" x14ac:dyDescent="0.2">
      <c r="A11" s="32" t="s">
        <v>160</v>
      </c>
      <c r="B11" s="34">
        <v>7160136</v>
      </c>
      <c r="C11" s="34">
        <v>0</v>
      </c>
      <c r="D11" s="34">
        <f t="shared" si="0"/>
        <v>7160136</v>
      </c>
      <c r="E11" s="34">
        <f t="shared" si="1"/>
        <v>0</v>
      </c>
      <c r="G11" s="28"/>
      <c r="H11" s="28">
        <f>-478487-94424</f>
        <v>-572911</v>
      </c>
      <c r="I11" s="9">
        <f t="shared" si="2"/>
        <v>6587225</v>
      </c>
      <c r="J11" s="40">
        <f t="shared" si="3"/>
        <v>7.0276652311841844E-3</v>
      </c>
      <c r="K11" s="32" t="str">
        <f t="shared" si="4"/>
        <v>Yes</v>
      </c>
      <c r="L11" s="32" t="str">
        <f t="shared" si="5"/>
        <v>Exclude expenditures for Information &amp; Referral and Public Involvement best practices (CDIR - Info &amp; Rfrrl org unit for positions, CDNRNOPI - no positions)</v>
      </c>
    </row>
    <row r="12" spans="1:12" x14ac:dyDescent="0.2">
      <c r="A12" s="32" t="s">
        <v>316</v>
      </c>
      <c r="B12" s="34">
        <v>1467428</v>
      </c>
      <c r="C12" s="34">
        <v>0</v>
      </c>
      <c r="D12" s="34">
        <f t="shared" si="0"/>
        <v>1467428</v>
      </c>
      <c r="E12" s="34">
        <f t="shared" si="1"/>
        <v>0</v>
      </c>
      <c r="G12" s="90"/>
      <c r="H12" s="28">
        <f>-631258-296702-(150078*0.704)</f>
        <v>-1033614.912</v>
      </c>
      <c r="I12" s="9">
        <f t="shared" si="2"/>
        <v>433813.08799999999</v>
      </c>
      <c r="J12" s="40">
        <f t="shared" si="3"/>
        <v>4.6281904069926937E-4</v>
      </c>
      <c r="K12" s="32" t="str">
        <f t="shared" si="4"/>
        <v>Yes</v>
      </c>
      <c r="L12" s="32" t="str">
        <f t="shared" si="5"/>
        <v>Exclude expenditures for Citywide Equity, Civil Rights, and % admin (CDCE, CDCR &amp; portion CDAS) - use base budget for position allocations</v>
      </c>
    </row>
    <row r="13" spans="1:12" x14ac:dyDescent="0.2">
      <c r="A13" s="32" t="s">
        <v>152</v>
      </c>
      <c r="B13" s="34">
        <v>1406708</v>
      </c>
      <c r="C13" s="34">
        <v>0</v>
      </c>
      <c r="D13" s="34">
        <f t="shared" si="0"/>
        <v>1406708</v>
      </c>
      <c r="E13" s="34">
        <f t="shared" si="1"/>
        <v>0</v>
      </c>
      <c r="G13" s="28"/>
      <c r="H13" s="28">
        <v>-756570</v>
      </c>
      <c r="I13" s="9">
        <f t="shared" si="2"/>
        <v>650138</v>
      </c>
      <c r="J13" s="40">
        <f t="shared" si="3"/>
        <v>6.9360803951157323E-4</v>
      </c>
      <c r="K13" s="32" t="str">
        <f t="shared" si="4"/>
        <v>Yes</v>
      </c>
      <c r="L13" s="32" t="str">
        <f t="shared" si="5"/>
        <v>Exclude Commissioner's Office (PACO000001)</v>
      </c>
    </row>
    <row r="14" spans="1:12" x14ac:dyDescent="0.2">
      <c r="A14" s="32" t="s">
        <v>167</v>
      </c>
      <c r="B14" s="34">
        <v>61312147</v>
      </c>
      <c r="C14" s="34">
        <v>351017</v>
      </c>
      <c r="D14" s="34">
        <f t="shared" si="0"/>
        <v>61663164</v>
      </c>
      <c r="E14" s="34">
        <f t="shared" si="1"/>
        <v>-175508.5</v>
      </c>
      <c r="G14" s="28"/>
      <c r="H14" s="28"/>
      <c r="I14" s="9">
        <f t="shared" si="2"/>
        <v>61487655.5</v>
      </c>
      <c r="J14" s="40">
        <f t="shared" si="3"/>
        <v>6.5598891597657735E-2</v>
      </c>
      <c r="K14" s="32" t="str">
        <f t="shared" si="4"/>
        <v>Yes</v>
      </c>
      <c r="L14" s="32" t="str">
        <f t="shared" si="5"/>
        <v xml:space="preserve"> </v>
      </c>
    </row>
    <row r="15" spans="1:12" x14ac:dyDescent="0.2">
      <c r="A15" s="32" t="s">
        <v>168</v>
      </c>
      <c r="B15" s="34">
        <v>149066058</v>
      </c>
      <c r="C15" s="34">
        <v>135000</v>
      </c>
      <c r="D15" s="34">
        <f t="shared" si="0"/>
        <v>149201058</v>
      </c>
      <c r="E15" s="34">
        <f t="shared" si="1"/>
        <v>-67500</v>
      </c>
      <c r="G15" s="28"/>
      <c r="H15" s="28"/>
      <c r="I15" s="9">
        <f t="shared" si="2"/>
        <v>149133558</v>
      </c>
      <c r="J15" s="40">
        <f t="shared" si="3"/>
        <v>0.15910504352885926</v>
      </c>
      <c r="K15" s="32" t="str">
        <f t="shared" si="4"/>
        <v>Yes</v>
      </c>
      <c r="L15" s="32" t="str">
        <f t="shared" si="5"/>
        <v xml:space="preserve"> </v>
      </c>
    </row>
    <row r="16" spans="1:12" x14ac:dyDescent="0.2">
      <c r="A16" s="32" t="s">
        <v>151</v>
      </c>
      <c r="B16" s="34">
        <v>8001072</v>
      </c>
      <c r="C16" s="34">
        <v>0</v>
      </c>
      <c r="D16" s="34">
        <f t="shared" si="0"/>
        <v>8001072</v>
      </c>
      <c r="E16" s="34">
        <f t="shared" si="1"/>
        <v>0</v>
      </c>
      <c r="G16" s="28"/>
      <c r="H16" s="28">
        <f>-879417-830173</f>
        <v>-1709590</v>
      </c>
      <c r="I16" s="9">
        <f t="shared" si="2"/>
        <v>6291482</v>
      </c>
      <c r="J16" s="40">
        <f t="shared" si="3"/>
        <v>6.7121480295604195E-3</v>
      </c>
      <c r="K16" s="32" t="str">
        <f t="shared" si="4"/>
        <v>Yes</v>
      </c>
      <c r="L16" s="32" t="str">
        <f t="shared" si="5"/>
        <v>Exclude expenditures for Comp Planning &amp; 1/2 of district liaisons (CDAPDI - Dist Plan org unit for positions, CDCPCM - use base budget for positions)</v>
      </c>
    </row>
    <row r="17" spans="1:12" x14ac:dyDescent="0.2">
      <c r="A17" s="32" t="s">
        <v>153</v>
      </c>
      <c r="B17" s="34">
        <v>794509</v>
      </c>
      <c r="C17" s="34">
        <v>0</v>
      </c>
      <c r="D17" s="34">
        <f t="shared" si="0"/>
        <v>794509</v>
      </c>
      <c r="E17" s="34">
        <f t="shared" si="1"/>
        <v>0</v>
      </c>
      <c r="G17" s="28"/>
      <c r="H17" s="28">
        <f t="shared" ref="H17:H19" si="6">-D17-E17-F17-G17</f>
        <v>-794509</v>
      </c>
      <c r="I17" s="9">
        <f t="shared" si="2"/>
        <v>0</v>
      </c>
      <c r="J17" s="40">
        <f t="shared" si="3"/>
        <v>0</v>
      </c>
      <c r="K17" s="32" t="str">
        <f t="shared" si="4"/>
        <v>Yes</v>
      </c>
      <c r="L17" s="32" t="str">
        <f t="shared" si="5"/>
        <v>100% Overhead</v>
      </c>
    </row>
    <row r="18" spans="1:12" x14ac:dyDescent="0.2">
      <c r="A18" s="32" t="s">
        <v>154</v>
      </c>
      <c r="B18" s="34">
        <v>778454</v>
      </c>
      <c r="C18" s="34">
        <v>0</v>
      </c>
      <c r="D18" s="34">
        <f t="shared" si="0"/>
        <v>778454</v>
      </c>
      <c r="E18" s="34">
        <f t="shared" si="1"/>
        <v>0</v>
      </c>
      <c r="G18" s="28"/>
      <c r="H18" s="28">
        <f t="shared" si="6"/>
        <v>-778454</v>
      </c>
      <c r="I18" s="9">
        <f t="shared" si="2"/>
        <v>0</v>
      </c>
      <c r="J18" s="40">
        <f t="shared" si="3"/>
        <v>0</v>
      </c>
      <c r="K18" s="32" t="str">
        <f t="shared" si="4"/>
        <v>Yes</v>
      </c>
      <c r="L18" s="32" t="str">
        <f t="shared" si="5"/>
        <v>100% Overhead</v>
      </c>
    </row>
    <row r="19" spans="1:12" x14ac:dyDescent="0.2">
      <c r="A19" s="32" t="s">
        <v>155</v>
      </c>
      <c r="B19" s="34">
        <v>782051</v>
      </c>
      <c r="C19" s="34">
        <v>0</v>
      </c>
      <c r="D19" s="34">
        <f t="shared" si="0"/>
        <v>782051</v>
      </c>
      <c r="E19" s="34">
        <f t="shared" si="1"/>
        <v>0</v>
      </c>
      <c r="G19" s="28"/>
      <c r="H19" s="28">
        <f t="shared" si="6"/>
        <v>-782051</v>
      </c>
      <c r="I19" s="9">
        <f t="shared" si="2"/>
        <v>0</v>
      </c>
      <c r="J19" s="40">
        <f t="shared" si="3"/>
        <v>0</v>
      </c>
      <c r="K19" s="32" t="str">
        <f t="shared" si="4"/>
        <v>Yes</v>
      </c>
      <c r="L19" s="32" t="str">
        <f t="shared" si="5"/>
        <v>100% Overhead</v>
      </c>
    </row>
    <row r="20" spans="1:12" x14ac:dyDescent="0.2">
      <c r="A20" s="32" t="s">
        <v>169</v>
      </c>
      <c r="B20" s="34">
        <v>8875916</v>
      </c>
      <c r="C20" s="34">
        <v>0</v>
      </c>
      <c r="D20" s="34">
        <f t="shared" si="0"/>
        <v>8875916</v>
      </c>
      <c r="E20" s="34">
        <f t="shared" si="1"/>
        <v>0</v>
      </c>
      <c r="G20" s="28"/>
      <c r="H20" s="28">
        <v>-273371</v>
      </c>
      <c r="I20" s="9">
        <f t="shared" si="2"/>
        <v>8602545</v>
      </c>
      <c r="J20" s="40">
        <f t="shared" si="3"/>
        <v>9.1777351458614733E-3</v>
      </c>
      <c r="K20" s="32" t="str">
        <f t="shared" si="4"/>
        <v>Yes</v>
      </c>
      <c r="L20" s="32" t="str">
        <f t="shared" si="5"/>
        <v>Exclude expenditures for City memberships and dues (MFSA000002)</v>
      </c>
    </row>
    <row r="21" spans="1:12" x14ac:dyDescent="0.2">
      <c r="A21" s="32" t="s">
        <v>318</v>
      </c>
      <c r="B21" s="34">
        <v>5297524</v>
      </c>
      <c r="C21" s="34">
        <v>0</v>
      </c>
      <c r="D21" s="34">
        <f t="shared" si="0"/>
        <v>5297524</v>
      </c>
      <c r="E21" s="34">
        <f t="shared" si="1"/>
        <v>0</v>
      </c>
      <c r="G21" s="28"/>
      <c r="H21" s="28"/>
      <c r="I21" s="9">
        <f t="shared" si="2"/>
        <v>5297524</v>
      </c>
      <c r="J21" s="40">
        <f t="shared" si="3"/>
        <v>5.6517312261481524E-3</v>
      </c>
      <c r="K21" s="32" t="str">
        <f t="shared" si="4"/>
        <v>Yes</v>
      </c>
      <c r="L21" s="32" t="str">
        <f t="shared" si="5"/>
        <v xml:space="preserve"> </v>
      </c>
    </row>
    <row r="22" spans="1:12" x14ac:dyDescent="0.2">
      <c r="A22" s="32" t="s">
        <v>170</v>
      </c>
      <c r="B22" s="34">
        <v>103404410</v>
      </c>
      <c r="C22" s="34">
        <v>42644678</v>
      </c>
      <c r="D22" s="34">
        <f t="shared" si="0"/>
        <v>146049088</v>
      </c>
      <c r="E22" s="34">
        <f t="shared" si="1"/>
        <v>-21322339</v>
      </c>
      <c r="G22" s="28"/>
      <c r="H22" s="28"/>
      <c r="I22" s="9">
        <f t="shared" si="2"/>
        <v>124726749</v>
      </c>
      <c r="J22" s="40">
        <f t="shared" si="3"/>
        <v>0.13306632722366957</v>
      </c>
      <c r="K22" s="32" t="str">
        <f t="shared" si="4"/>
        <v>Yes</v>
      </c>
      <c r="L22" s="32" t="str">
        <f t="shared" si="5"/>
        <v xml:space="preserve"> </v>
      </c>
    </row>
    <row r="23" spans="1:12" x14ac:dyDescent="0.2">
      <c r="A23" s="32" t="s">
        <v>171</v>
      </c>
      <c r="B23" s="34">
        <v>15276645</v>
      </c>
      <c r="C23" s="34">
        <v>0</v>
      </c>
      <c r="D23" s="34">
        <f t="shared" si="0"/>
        <v>15276645</v>
      </c>
      <c r="E23" s="34">
        <f t="shared" si="1"/>
        <v>0</v>
      </c>
      <c r="F23" s="28"/>
      <c r="G23" s="28"/>
      <c r="H23" s="28"/>
      <c r="I23" s="9">
        <f t="shared" si="2"/>
        <v>15276645</v>
      </c>
      <c r="J23" s="40">
        <f t="shared" si="3"/>
        <v>1.6298084081786141E-2</v>
      </c>
      <c r="K23" s="32" t="str">
        <f t="shared" si="4"/>
        <v>Yes</v>
      </c>
      <c r="L23" s="32" t="str">
        <f t="shared" si="5"/>
        <v xml:space="preserve"> </v>
      </c>
    </row>
    <row r="24" spans="1:12" x14ac:dyDescent="0.2">
      <c r="A24" s="32" t="s">
        <v>173</v>
      </c>
      <c r="B24" s="34">
        <v>28863026</v>
      </c>
      <c r="C24" s="34">
        <v>2119734</v>
      </c>
      <c r="D24" s="34">
        <f t="shared" si="0"/>
        <v>30982760</v>
      </c>
      <c r="E24" s="34">
        <f t="shared" si="1"/>
        <v>-1059867</v>
      </c>
      <c r="G24" s="28"/>
      <c r="H24" s="28"/>
      <c r="I24" s="9">
        <f t="shared" si="2"/>
        <v>29922893</v>
      </c>
      <c r="J24" s="40">
        <f t="shared" si="3"/>
        <v>3.1923621062366112E-2</v>
      </c>
      <c r="K24" s="32" t="str">
        <f t="shared" si="4"/>
        <v>Yes</v>
      </c>
      <c r="L24" s="32" t="str">
        <f t="shared" si="5"/>
        <v xml:space="preserve"> </v>
      </c>
    </row>
    <row r="25" spans="1:12" x14ac:dyDescent="0.2">
      <c r="A25" s="32" t="s">
        <v>174</v>
      </c>
      <c r="B25" s="34">
        <v>5065254</v>
      </c>
      <c r="C25" s="34">
        <v>0</v>
      </c>
      <c r="D25" s="34">
        <f t="shared" si="0"/>
        <v>5065254</v>
      </c>
      <c r="E25" s="34">
        <f t="shared" si="1"/>
        <v>0</v>
      </c>
      <c r="G25" s="28">
        <v>-5065254</v>
      </c>
      <c r="H25" s="28"/>
      <c r="I25" s="9">
        <f t="shared" si="2"/>
        <v>0</v>
      </c>
      <c r="J25" s="40">
        <f t="shared" si="3"/>
        <v>0</v>
      </c>
      <c r="K25" s="32" t="str">
        <f t="shared" si="4"/>
        <v>Yes</v>
      </c>
      <c r="L25" s="32" t="str">
        <f t="shared" si="5"/>
        <v>Fixed at $25,000 (hardcoded in Model)</v>
      </c>
    </row>
    <row r="26" spans="1:12" x14ac:dyDescent="0.2">
      <c r="A26" s="32" t="s">
        <v>176</v>
      </c>
      <c r="B26" s="34">
        <v>14579699</v>
      </c>
      <c r="C26" s="34">
        <v>0</v>
      </c>
      <c r="D26" s="34">
        <f t="shared" si="0"/>
        <v>14579699</v>
      </c>
      <c r="E26" s="34">
        <f t="shared" si="1"/>
        <v>0</v>
      </c>
      <c r="F26" s="28"/>
      <c r="G26" s="28">
        <v>-14579699</v>
      </c>
      <c r="H26" s="28"/>
      <c r="I26" s="9">
        <f t="shared" si="2"/>
        <v>0</v>
      </c>
      <c r="J26" s="40">
        <f t="shared" si="3"/>
        <v>0</v>
      </c>
      <c r="K26" s="32" t="str">
        <f t="shared" si="4"/>
        <v>Yes</v>
      </c>
      <c r="L26" s="32" t="str">
        <f t="shared" si="5"/>
        <v>Fixed at $25,000 (hardcoded in Model)</v>
      </c>
    </row>
    <row r="27" spans="1:12" x14ac:dyDescent="0.2">
      <c r="A27" s="32" t="s">
        <v>177</v>
      </c>
      <c r="B27" s="34">
        <v>56481652</v>
      </c>
      <c r="C27" s="34">
        <v>0</v>
      </c>
      <c r="D27" s="34">
        <f t="shared" si="0"/>
        <v>56481652</v>
      </c>
      <c r="E27" s="34">
        <f t="shared" si="1"/>
        <v>0</v>
      </c>
      <c r="F27" s="28"/>
      <c r="G27" s="28"/>
      <c r="H27" s="28"/>
      <c r="I27" s="9">
        <f t="shared" si="2"/>
        <v>0</v>
      </c>
      <c r="J27" s="40">
        <f t="shared" si="3"/>
        <v>0</v>
      </c>
      <c r="K27" s="32" t="str">
        <f t="shared" si="4"/>
        <v>Yes</v>
      </c>
      <c r="L27" s="32" t="str">
        <f t="shared" si="5"/>
        <v xml:space="preserve"> </v>
      </c>
    </row>
    <row r="28" spans="1:12" x14ac:dyDescent="0.2">
      <c r="A28" s="32" t="s">
        <v>178</v>
      </c>
      <c r="B28" s="34">
        <v>1098510</v>
      </c>
      <c r="C28" s="34">
        <v>0</v>
      </c>
      <c r="D28" s="34">
        <f t="shared" si="0"/>
        <v>1098510</v>
      </c>
      <c r="E28" s="34">
        <f t="shared" si="1"/>
        <v>0</v>
      </c>
      <c r="F28" s="28"/>
      <c r="G28" s="28">
        <f>-(2580/2)</f>
        <v>-1290</v>
      </c>
      <c r="H28" s="28"/>
      <c r="I28" s="9">
        <f t="shared" si="2"/>
        <v>1097220</v>
      </c>
      <c r="J28" s="40">
        <f t="shared" si="3"/>
        <v>1.1705831886659268E-3</v>
      </c>
      <c r="K28" s="32" t="str">
        <f t="shared" si="4"/>
        <v>Yes</v>
      </c>
      <c r="L28" s="32" t="str">
        <f t="shared" si="5"/>
        <v>50% discount for operating projects</v>
      </c>
    </row>
    <row r="29" spans="1:12" x14ac:dyDescent="0.2">
      <c r="A29" s="32" t="s">
        <v>180</v>
      </c>
      <c r="B29" s="34">
        <v>463343</v>
      </c>
      <c r="C29" s="34">
        <v>0</v>
      </c>
      <c r="D29" s="34">
        <f t="shared" si="0"/>
        <v>463343</v>
      </c>
      <c r="E29" s="34">
        <f t="shared" si="1"/>
        <v>0</v>
      </c>
      <c r="G29" s="28"/>
      <c r="H29" s="28"/>
      <c r="I29" s="9">
        <f t="shared" si="2"/>
        <v>463343</v>
      </c>
      <c r="J29" s="40">
        <f t="shared" si="3"/>
        <v>4.9432340495619528E-4</v>
      </c>
      <c r="K29" s="32" t="str">
        <f t="shared" si="4"/>
        <v>Yes</v>
      </c>
      <c r="L29" s="32" t="str">
        <f t="shared" si="5"/>
        <v xml:space="preserve"> </v>
      </c>
    </row>
    <row r="30" spans="1:12" x14ac:dyDescent="0.2">
      <c r="A30" s="32" t="s">
        <v>181</v>
      </c>
      <c r="B30" s="34">
        <v>10807653</v>
      </c>
      <c r="C30" s="34">
        <v>0</v>
      </c>
      <c r="D30" s="34">
        <f t="shared" ref="D30:D62" si="7">SUM(B30:C30)</f>
        <v>10807653</v>
      </c>
      <c r="E30" s="34">
        <f t="shared" si="1"/>
        <v>0</v>
      </c>
      <c r="G30" s="28">
        <v>-10807653</v>
      </c>
      <c r="H30" s="28"/>
      <c r="I30" s="9">
        <f t="shared" si="2"/>
        <v>0</v>
      </c>
      <c r="J30" s="40">
        <f t="shared" si="3"/>
        <v>0</v>
      </c>
      <c r="K30" s="32" t="str">
        <f t="shared" si="4"/>
        <v>Yes</v>
      </c>
      <c r="L30" s="32" t="str">
        <f t="shared" si="5"/>
        <v>Fixed at $25,000 (hardcoded in Model)</v>
      </c>
    </row>
    <row r="31" spans="1:12" x14ac:dyDescent="0.2">
      <c r="A31" s="32" t="s">
        <v>187</v>
      </c>
      <c r="B31" s="34">
        <v>861458</v>
      </c>
      <c r="C31" s="34">
        <v>0</v>
      </c>
      <c r="D31" s="34">
        <f t="shared" si="7"/>
        <v>861458</v>
      </c>
      <c r="E31" s="34">
        <f t="shared" si="1"/>
        <v>0</v>
      </c>
      <c r="G31" s="28"/>
      <c r="H31" s="28"/>
      <c r="I31" s="9">
        <f t="shared" si="2"/>
        <v>861458</v>
      </c>
      <c r="J31" s="40">
        <f t="shared" si="3"/>
        <v>9.1905748395196231E-4</v>
      </c>
      <c r="K31" s="32" t="str">
        <f t="shared" si="4"/>
        <v>Yes</v>
      </c>
      <c r="L31" s="32" t="str">
        <f t="shared" si="5"/>
        <v xml:space="preserve"> </v>
      </c>
    </row>
    <row r="32" spans="1:12" x14ac:dyDescent="0.2">
      <c r="A32" s="32" t="s">
        <v>183</v>
      </c>
      <c r="B32" s="34">
        <v>249268</v>
      </c>
      <c r="C32" s="34">
        <v>576340</v>
      </c>
      <c r="D32" s="34">
        <f t="shared" si="7"/>
        <v>825608</v>
      </c>
      <c r="E32" s="34">
        <f t="shared" si="1"/>
        <v>-288170</v>
      </c>
      <c r="G32" s="28"/>
      <c r="H32" s="28"/>
      <c r="I32" s="9">
        <f t="shared" si="2"/>
        <v>537438</v>
      </c>
      <c r="J32" s="40">
        <f t="shared" si="3"/>
        <v>5.7337260326118596E-4</v>
      </c>
      <c r="K32" s="32" t="str">
        <f t="shared" si="4"/>
        <v>Yes</v>
      </c>
      <c r="L32" s="32" t="str">
        <f t="shared" si="5"/>
        <v xml:space="preserve"> </v>
      </c>
    </row>
    <row r="33" spans="1:12" x14ac:dyDescent="0.2">
      <c r="A33" s="32" t="s">
        <v>190</v>
      </c>
      <c r="B33" s="34">
        <v>2759773</v>
      </c>
      <c r="C33" s="34">
        <v>0</v>
      </c>
      <c r="D33" s="34">
        <f t="shared" si="7"/>
        <v>2759773</v>
      </c>
      <c r="E33" s="34">
        <f t="shared" si="1"/>
        <v>0</v>
      </c>
      <c r="G33" s="28"/>
      <c r="H33" s="28"/>
      <c r="I33" s="9">
        <f t="shared" si="2"/>
        <v>2759773</v>
      </c>
      <c r="J33" s="40">
        <f t="shared" si="3"/>
        <v>2.9442991180748902E-3</v>
      </c>
      <c r="K33" s="32" t="str">
        <f t="shared" si="4"/>
        <v>Yes</v>
      </c>
      <c r="L33" s="32" t="str">
        <f t="shared" si="5"/>
        <v xml:space="preserve"> </v>
      </c>
    </row>
    <row r="34" spans="1:12" x14ac:dyDescent="0.2">
      <c r="A34" s="32" t="s">
        <v>191</v>
      </c>
      <c r="B34" s="34">
        <v>4375389</v>
      </c>
      <c r="C34" s="34">
        <v>0</v>
      </c>
      <c r="D34" s="34">
        <f t="shared" si="7"/>
        <v>4375389</v>
      </c>
      <c r="E34" s="34">
        <f t="shared" si="1"/>
        <v>0</v>
      </c>
      <c r="G34" s="28"/>
      <c r="H34" s="28"/>
      <c r="I34" s="9">
        <f t="shared" si="2"/>
        <v>4375389</v>
      </c>
      <c r="J34" s="40">
        <f t="shared" ref="J34:J65" si="8">I34/(SUM($I$2:$I$80))</f>
        <v>4.667939708785678E-3</v>
      </c>
      <c r="K34" s="32" t="str">
        <f t="shared" si="4"/>
        <v>Yes</v>
      </c>
      <c r="L34" s="32" t="str">
        <f t="shared" si="5"/>
        <v xml:space="preserve"> </v>
      </c>
    </row>
    <row r="35" spans="1:12" x14ac:dyDescent="0.2">
      <c r="A35" s="32" t="s">
        <v>186</v>
      </c>
      <c r="B35" s="34">
        <v>0</v>
      </c>
      <c r="C35" s="34">
        <v>25000</v>
      </c>
      <c r="D35" s="34">
        <f t="shared" si="7"/>
        <v>25000</v>
      </c>
      <c r="E35" s="34">
        <f t="shared" si="1"/>
        <v>-12500</v>
      </c>
      <c r="G35" s="28"/>
      <c r="H35" s="28"/>
      <c r="I35" s="9">
        <f t="shared" si="2"/>
        <v>12500</v>
      </c>
      <c r="J35" s="40">
        <f t="shared" si="8"/>
        <v>1.3335784854745709E-5</v>
      </c>
      <c r="K35" s="32" t="str">
        <f t="shared" si="4"/>
        <v>Yes</v>
      </c>
      <c r="L35" s="32" t="str">
        <f t="shared" si="5"/>
        <v xml:space="preserve"> </v>
      </c>
    </row>
    <row r="36" spans="1:12" x14ac:dyDescent="0.2">
      <c r="A36" s="32" t="s">
        <v>323</v>
      </c>
      <c r="B36" s="34">
        <v>42807</v>
      </c>
      <c r="C36" s="34">
        <v>0</v>
      </c>
      <c r="D36" s="34">
        <f t="shared" si="7"/>
        <v>42807</v>
      </c>
      <c r="E36" s="34">
        <f t="shared" si="1"/>
        <v>0</v>
      </c>
      <c r="G36" s="28"/>
      <c r="H36" s="28"/>
      <c r="I36" s="9">
        <f t="shared" si="2"/>
        <v>42807</v>
      </c>
      <c r="J36" s="40">
        <f t="shared" si="8"/>
        <v>4.5669195382167963E-5</v>
      </c>
      <c r="K36" s="32" t="str">
        <f t="shared" si="4"/>
        <v>Yes</v>
      </c>
      <c r="L36" s="32" t="str">
        <f t="shared" si="5"/>
        <v xml:space="preserve"> </v>
      </c>
    </row>
    <row r="37" spans="1:12" x14ac:dyDescent="0.2">
      <c r="A37" s="32" t="s">
        <v>192</v>
      </c>
      <c r="B37" s="34">
        <v>326801</v>
      </c>
      <c r="C37" s="34">
        <v>172372</v>
      </c>
      <c r="D37" s="34">
        <f t="shared" si="7"/>
        <v>499173</v>
      </c>
      <c r="E37" s="34">
        <f t="shared" si="1"/>
        <v>-86186</v>
      </c>
      <c r="G37" s="28"/>
      <c r="H37" s="28"/>
      <c r="I37" s="9">
        <f t="shared" si="2"/>
        <v>412987</v>
      </c>
      <c r="J37" s="40">
        <f t="shared" si="8"/>
        <v>4.406004623845493E-4</v>
      </c>
      <c r="K37" s="32" t="str">
        <f t="shared" si="4"/>
        <v>Yes</v>
      </c>
      <c r="L37" s="32" t="str">
        <f t="shared" si="5"/>
        <v xml:space="preserve"> </v>
      </c>
    </row>
    <row r="38" spans="1:12" x14ac:dyDescent="0.2">
      <c r="A38" s="32" t="s">
        <v>193</v>
      </c>
      <c r="B38" s="34">
        <v>1369701</v>
      </c>
      <c r="C38" s="34">
        <v>46851</v>
      </c>
      <c r="D38" s="34">
        <f t="shared" si="7"/>
        <v>1416552</v>
      </c>
      <c r="E38" s="34">
        <f t="shared" si="1"/>
        <v>-23425.5</v>
      </c>
      <c r="G38" s="28"/>
      <c r="H38" s="28"/>
      <c r="I38" s="9">
        <f t="shared" si="2"/>
        <v>1393126.5</v>
      </c>
      <c r="J38" s="40">
        <f t="shared" si="8"/>
        <v>1.4862748223555917E-3</v>
      </c>
      <c r="K38" s="32" t="str">
        <f t="shared" si="4"/>
        <v>Yes</v>
      </c>
      <c r="L38" s="32" t="str">
        <f t="shared" si="5"/>
        <v xml:space="preserve"> </v>
      </c>
    </row>
    <row r="39" spans="1:12" x14ac:dyDescent="0.2">
      <c r="A39" s="32" t="s">
        <v>184</v>
      </c>
      <c r="B39" s="34">
        <v>1547305</v>
      </c>
      <c r="C39" s="34">
        <v>0</v>
      </c>
      <c r="D39" s="34">
        <f t="shared" si="7"/>
        <v>1547305</v>
      </c>
      <c r="E39" s="34">
        <f t="shared" si="1"/>
        <v>0</v>
      </c>
      <c r="G39" s="28"/>
      <c r="H39" s="28"/>
      <c r="I39" s="9">
        <f t="shared" si="2"/>
        <v>1547305</v>
      </c>
      <c r="J39" s="40">
        <f t="shared" si="8"/>
        <v>1.6507621267737847E-3</v>
      </c>
      <c r="K39" s="32" t="str">
        <f t="shared" si="4"/>
        <v>Yes</v>
      </c>
      <c r="L39" s="32" t="str">
        <f t="shared" si="5"/>
        <v xml:space="preserve"> </v>
      </c>
    </row>
    <row r="40" spans="1:12" x14ac:dyDescent="0.2">
      <c r="A40" s="32" t="s">
        <v>188</v>
      </c>
      <c r="B40" s="34">
        <v>511461</v>
      </c>
      <c r="C40" s="34">
        <v>12093709</v>
      </c>
      <c r="D40" s="34">
        <f t="shared" si="7"/>
        <v>12605170</v>
      </c>
      <c r="E40" s="34">
        <f t="shared" si="1"/>
        <v>-6046854.5</v>
      </c>
      <c r="G40" s="28"/>
      <c r="H40" s="28"/>
      <c r="I40" s="9">
        <f t="shared" si="2"/>
        <v>6558315.5</v>
      </c>
      <c r="J40" s="40">
        <f t="shared" si="8"/>
        <v>6.9968227614035225E-3</v>
      </c>
      <c r="K40" s="32" t="str">
        <f t="shared" si="4"/>
        <v>Yes</v>
      </c>
      <c r="L40" s="32" t="str">
        <f t="shared" si="5"/>
        <v xml:space="preserve"> </v>
      </c>
    </row>
    <row r="41" spans="1:12" x14ac:dyDescent="0.2">
      <c r="A41" s="32" t="s">
        <v>189</v>
      </c>
      <c r="B41" s="34">
        <v>449092</v>
      </c>
      <c r="C41" s="34">
        <v>0</v>
      </c>
      <c r="D41" s="34">
        <f t="shared" si="7"/>
        <v>449092</v>
      </c>
      <c r="E41" s="34">
        <f t="shared" si="1"/>
        <v>0</v>
      </c>
      <c r="G41" s="28"/>
      <c r="H41" s="28"/>
      <c r="I41" s="9">
        <f t="shared" si="2"/>
        <v>449092</v>
      </c>
      <c r="J41" s="40">
        <f t="shared" si="8"/>
        <v>4.7911954335899676E-4</v>
      </c>
      <c r="K41" s="32" t="str">
        <f t="shared" si="4"/>
        <v>Yes</v>
      </c>
      <c r="L41" s="32" t="str">
        <f t="shared" si="5"/>
        <v xml:space="preserve"> </v>
      </c>
    </row>
    <row r="42" spans="1:12" x14ac:dyDescent="0.2">
      <c r="A42" s="32" t="s">
        <v>195</v>
      </c>
      <c r="B42" s="34">
        <v>13457760</v>
      </c>
      <c r="C42" s="34">
        <v>0</v>
      </c>
      <c r="D42" s="34">
        <f t="shared" si="7"/>
        <v>13457760</v>
      </c>
      <c r="E42" s="34">
        <f t="shared" si="1"/>
        <v>0</v>
      </c>
      <c r="G42" s="28"/>
      <c r="H42" s="28"/>
      <c r="I42" s="9">
        <f t="shared" si="2"/>
        <v>13457760</v>
      </c>
      <c r="J42" s="40">
        <f t="shared" si="8"/>
        <v>1.4357583358944208E-2</v>
      </c>
      <c r="K42" s="32" t="str">
        <f t="shared" si="4"/>
        <v>Yes</v>
      </c>
      <c r="L42" s="32" t="str">
        <f t="shared" si="5"/>
        <v xml:space="preserve"> </v>
      </c>
    </row>
    <row r="43" spans="1:12" x14ac:dyDescent="0.2">
      <c r="A43" s="32" t="s">
        <v>196</v>
      </c>
      <c r="B43" s="34">
        <v>3269750</v>
      </c>
      <c r="C43" s="34">
        <v>0</v>
      </c>
      <c r="D43" s="34">
        <f t="shared" si="7"/>
        <v>3269750</v>
      </c>
      <c r="E43" s="34">
        <f t="shared" si="1"/>
        <v>0</v>
      </c>
      <c r="G43" s="28"/>
      <c r="H43" s="28"/>
      <c r="I43" s="9">
        <f t="shared" si="2"/>
        <v>3269750</v>
      </c>
      <c r="J43" s="40">
        <f t="shared" si="8"/>
        <v>3.4883746023043824E-3</v>
      </c>
      <c r="K43" s="32" t="str">
        <f t="shared" si="4"/>
        <v>Yes</v>
      </c>
      <c r="L43" s="32" t="str">
        <f t="shared" si="5"/>
        <v xml:space="preserve"> </v>
      </c>
    </row>
    <row r="44" spans="1:12" x14ac:dyDescent="0.2">
      <c r="A44" s="32" t="s">
        <v>197</v>
      </c>
      <c r="B44" s="34">
        <v>1010075</v>
      </c>
      <c r="C44" s="34">
        <v>64000</v>
      </c>
      <c r="D44" s="34">
        <f t="shared" si="7"/>
        <v>1074075</v>
      </c>
      <c r="E44" s="34">
        <f t="shared" si="1"/>
        <v>-32000</v>
      </c>
      <c r="G44" s="28"/>
      <c r="H44" s="28"/>
      <c r="I44" s="9">
        <f t="shared" si="2"/>
        <v>0</v>
      </c>
      <c r="J44" s="40">
        <f t="shared" si="8"/>
        <v>0</v>
      </c>
      <c r="K44" s="32" t="str">
        <f t="shared" si="4"/>
        <v>Yes</v>
      </c>
      <c r="L44" s="32" t="str">
        <f t="shared" si="5"/>
        <v xml:space="preserve"> </v>
      </c>
    </row>
    <row r="45" spans="1:12" x14ac:dyDescent="0.2">
      <c r="A45" s="32" t="s">
        <v>198</v>
      </c>
      <c r="B45" s="34">
        <v>21166921</v>
      </c>
      <c r="C45" s="34">
        <v>0</v>
      </c>
      <c r="D45" s="34">
        <f t="shared" si="7"/>
        <v>21166921</v>
      </c>
      <c r="E45" s="34">
        <f t="shared" si="1"/>
        <v>0</v>
      </c>
      <c r="G45" s="28">
        <f>-(18641177/2)</f>
        <v>-9320588.5</v>
      </c>
      <c r="H45" s="28"/>
      <c r="I45" s="9">
        <f t="shared" si="2"/>
        <v>11846332.5</v>
      </c>
      <c r="J45" s="40">
        <f t="shared" si="8"/>
        <v>1.263841132302255E-2</v>
      </c>
      <c r="K45" s="32" t="str">
        <f t="shared" si="4"/>
        <v>Yes</v>
      </c>
      <c r="L45" s="32" t="str">
        <f t="shared" si="5"/>
        <v>50% discount for operating projects</v>
      </c>
    </row>
    <row r="46" spans="1:12" x14ac:dyDescent="0.2">
      <c r="A46" s="32" t="s">
        <v>199</v>
      </c>
      <c r="B46" s="34">
        <v>1233265</v>
      </c>
      <c r="C46" s="34">
        <v>195625</v>
      </c>
      <c r="D46" s="34">
        <f t="shared" si="7"/>
        <v>1428890</v>
      </c>
      <c r="E46" s="34">
        <f t="shared" si="1"/>
        <v>-97812.5</v>
      </c>
      <c r="G46" s="28"/>
      <c r="H46" s="28"/>
      <c r="I46" s="9">
        <f>IF((VLOOKUP(A46,Crosswalk,2,FALSE)="Excluded"),0,(D46+E46+F46+G46+H46))</f>
        <v>0</v>
      </c>
      <c r="J46" s="40">
        <f t="shared" si="8"/>
        <v>0</v>
      </c>
      <c r="K46" s="32" t="str">
        <f t="shared" si="4"/>
        <v>Yes</v>
      </c>
      <c r="L46" s="32" t="str">
        <f t="shared" si="5"/>
        <v xml:space="preserve"> </v>
      </c>
    </row>
    <row r="47" spans="1:12" x14ac:dyDescent="0.2">
      <c r="A47" s="32" t="s">
        <v>410</v>
      </c>
      <c r="B47" s="34">
        <v>8524733</v>
      </c>
      <c r="C47" s="34">
        <v>0</v>
      </c>
      <c r="D47" s="34">
        <f t="shared" si="7"/>
        <v>8524733</v>
      </c>
      <c r="E47" s="34">
        <f t="shared" si="1"/>
        <v>0</v>
      </c>
      <c r="G47" s="28">
        <v>-8524733</v>
      </c>
      <c r="H47" s="28"/>
      <c r="I47" s="9">
        <f t="shared" si="2"/>
        <v>0</v>
      </c>
      <c r="J47" s="40">
        <f t="shared" si="8"/>
        <v>0</v>
      </c>
      <c r="K47" s="32" t="str">
        <f t="shared" si="4"/>
        <v>Yes</v>
      </c>
      <c r="L47" s="32" t="str">
        <f t="shared" si="5"/>
        <v>Fixed at $25,000 (hardcoded in Model)</v>
      </c>
    </row>
    <row r="48" spans="1:12" x14ac:dyDescent="0.2">
      <c r="A48" s="32" t="s">
        <v>424</v>
      </c>
      <c r="B48" s="34">
        <v>5063</v>
      </c>
      <c r="C48" s="34">
        <v>0</v>
      </c>
      <c r="D48" s="34">
        <f t="shared" si="7"/>
        <v>5063</v>
      </c>
      <c r="E48" s="34">
        <f t="shared" si="1"/>
        <v>0</v>
      </c>
      <c r="G48" s="28"/>
      <c r="H48" s="28"/>
      <c r="I48" s="9">
        <f t="shared" si="2"/>
        <v>5063</v>
      </c>
      <c r="J48" s="40">
        <f t="shared" si="8"/>
        <v>5.4015262975662016E-6</v>
      </c>
      <c r="K48" s="32" t="str">
        <f t="shared" si="4"/>
        <v>Yes</v>
      </c>
      <c r="L48" s="32" t="str">
        <f t="shared" si="5"/>
        <v xml:space="preserve"> </v>
      </c>
    </row>
    <row r="49" spans="1:12" x14ac:dyDescent="0.2">
      <c r="A49" s="32" t="s">
        <v>425</v>
      </c>
      <c r="B49" s="34">
        <v>104250</v>
      </c>
      <c r="C49" s="34">
        <v>0</v>
      </c>
      <c r="D49" s="34">
        <f t="shared" si="7"/>
        <v>104250</v>
      </c>
      <c r="E49" s="34">
        <f t="shared" si="1"/>
        <v>0</v>
      </c>
      <c r="G49" s="28"/>
      <c r="H49" s="28"/>
      <c r="I49" s="9">
        <f t="shared" si="2"/>
        <v>0</v>
      </c>
      <c r="J49" s="40">
        <f t="shared" si="8"/>
        <v>0</v>
      </c>
      <c r="K49" s="32" t="str">
        <f t="shared" si="4"/>
        <v>Yes</v>
      </c>
      <c r="L49" s="32" t="str">
        <f t="shared" si="5"/>
        <v>Debt Service related expenses</v>
      </c>
    </row>
    <row r="50" spans="1:12" x14ac:dyDescent="0.2">
      <c r="A50" s="32" t="s">
        <v>426</v>
      </c>
      <c r="B50" s="34">
        <v>128137</v>
      </c>
      <c r="C50" s="34">
        <v>0</v>
      </c>
      <c r="D50" s="34">
        <f t="shared" si="7"/>
        <v>128137</v>
      </c>
      <c r="E50" s="34">
        <f t="shared" si="1"/>
        <v>0</v>
      </c>
      <c r="G50" s="28"/>
      <c r="H50" s="28"/>
      <c r="I50" s="9">
        <f t="shared" si="2"/>
        <v>0</v>
      </c>
      <c r="J50" s="40">
        <f t="shared" si="8"/>
        <v>0</v>
      </c>
      <c r="K50" s="32" t="str">
        <f t="shared" si="4"/>
        <v>Yes</v>
      </c>
      <c r="L50" s="32" t="str">
        <f t="shared" si="5"/>
        <v>Debt Service related expenses</v>
      </c>
    </row>
    <row r="51" spans="1:12" x14ac:dyDescent="0.2">
      <c r="A51" s="32" t="s">
        <v>443</v>
      </c>
      <c r="B51" s="34">
        <v>37592</v>
      </c>
      <c r="C51" s="34">
        <v>0</v>
      </c>
      <c r="D51" s="34">
        <f t="shared" si="7"/>
        <v>37592</v>
      </c>
      <c r="E51" s="34">
        <f t="shared" si="1"/>
        <v>0</v>
      </c>
      <c r="G51" s="28"/>
      <c r="H51" s="28"/>
      <c r="I51" s="9">
        <f t="shared" si="2"/>
        <v>0</v>
      </c>
      <c r="J51" s="40">
        <f t="shared" si="8"/>
        <v>0</v>
      </c>
      <c r="K51" s="32" t="str">
        <f t="shared" si="4"/>
        <v>Yes</v>
      </c>
      <c r="L51" s="32" t="str">
        <f t="shared" si="5"/>
        <v>Debt Service related expenses</v>
      </c>
    </row>
    <row r="52" spans="1:12" x14ac:dyDescent="0.2">
      <c r="A52" s="32" t="s">
        <v>427</v>
      </c>
      <c r="B52" s="34">
        <v>85299</v>
      </c>
      <c r="C52" s="34">
        <v>0</v>
      </c>
      <c r="D52" s="34">
        <f t="shared" si="7"/>
        <v>85299</v>
      </c>
      <c r="E52" s="34">
        <f t="shared" si="1"/>
        <v>0</v>
      </c>
      <c r="G52" s="28"/>
      <c r="H52" s="28"/>
      <c r="I52" s="89">
        <f t="shared" si="2"/>
        <v>0</v>
      </c>
      <c r="J52" s="40">
        <f t="shared" si="8"/>
        <v>0</v>
      </c>
      <c r="K52" s="32" t="str">
        <f t="shared" si="4"/>
        <v>Yes</v>
      </c>
      <c r="L52" s="32" t="str">
        <f t="shared" si="5"/>
        <v>Debt Service related expenses</v>
      </c>
    </row>
    <row r="53" spans="1:12" x14ac:dyDescent="0.2">
      <c r="A53" s="32" t="s">
        <v>428</v>
      </c>
      <c r="B53" s="34">
        <v>123216</v>
      </c>
      <c r="C53" s="34">
        <v>0</v>
      </c>
      <c r="D53" s="34">
        <f t="shared" si="7"/>
        <v>123216</v>
      </c>
      <c r="E53" s="34">
        <f t="shared" si="1"/>
        <v>0</v>
      </c>
      <c r="G53" s="28"/>
      <c r="H53" s="28"/>
      <c r="I53" s="89">
        <f t="shared" si="2"/>
        <v>0</v>
      </c>
      <c r="J53" s="40">
        <f t="shared" si="8"/>
        <v>0</v>
      </c>
      <c r="K53" s="32" t="str">
        <f t="shared" si="4"/>
        <v>Yes</v>
      </c>
      <c r="L53" s="32" t="str">
        <f t="shared" si="5"/>
        <v>Debt Service related expenses</v>
      </c>
    </row>
    <row r="54" spans="1:12" x14ac:dyDescent="0.2">
      <c r="A54" s="32" t="s">
        <v>444</v>
      </c>
      <c r="B54" s="34">
        <v>56266</v>
      </c>
      <c r="C54" s="34">
        <v>0</v>
      </c>
      <c r="D54" s="34">
        <f t="shared" si="7"/>
        <v>56266</v>
      </c>
      <c r="E54" s="34">
        <f t="shared" si="1"/>
        <v>0</v>
      </c>
      <c r="G54" s="28"/>
      <c r="H54" s="28"/>
      <c r="I54" s="89">
        <f t="shared" si="2"/>
        <v>0</v>
      </c>
      <c r="J54" s="40">
        <f t="shared" si="8"/>
        <v>0</v>
      </c>
      <c r="K54" s="32" t="str">
        <f t="shared" si="4"/>
        <v>Yes</v>
      </c>
      <c r="L54" s="32" t="str">
        <f t="shared" si="5"/>
        <v>Debt Service related expenses</v>
      </c>
    </row>
    <row r="55" spans="1:12" x14ac:dyDescent="0.2">
      <c r="A55" s="32" t="s">
        <v>203</v>
      </c>
      <c r="B55" s="34">
        <v>2369</v>
      </c>
      <c r="C55" s="34">
        <v>1336548</v>
      </c>
      <c r="D55" s="34">
        <f t="shared" si="7"/>
        <v>1338917</v>
      </c>
      <c r="E55" s="34">
        <f t="shared" si="1"/>
        <v>-668274</v>
      </c>
      <c r="G55" s="28"/>
      <c r="H55" s="28"/>
      <c r="I55" s="89">
        <f t="shared" si="2"/>
        <v>670643</v>
      </c>
      <c r="J55" s="40">
        <f t="shared" si="8"/>
        <v>7.1548406098729807E-4</v>
      </c>
      <c r="K55" s="32" t="str">
        <f t="shared" si="4"/>
        <v>Yes</v>
      </c>
      <c r="L55" s="32" t="str">
        <f t="shared" si="5"/>
        <v xml:space="preserve"> </v>
      </c>
    </row>
    <row r="56" spans="1:12" x14ac:dyDescent="0.2">
      <c r="A56" s="32" t="s">
        <v>204</v>
      </c>
      <c r="B56" s="34">
        <v>4000</v>
      </c>
      <c r="C56" s="34">
        <v>0</v>
      </c>
      <c r="D56" s="34">
        <f t="shared" si="7"/>
        <v>4000</v>
      </c>
      <c r="E56" s="34">
        <f t="shared" si="1"/>
        <v>0</v>
      </c>
      <c r="G56" s="28"/>
      <c r="H56" s="28"/>
      <c r="I56" s="9">
        <f t="shared" si="2"/>
        <v>4000</v>
      </c>
      <c r="J56" s="40">
        <f t="shared" si="8"/>
        <v>4.2674511535186268E-6</v>
      </c>
      <c r="K56" s="32" t="str">
        <f t="shared" si="4"/>
        <v>Yes</v>
      </c>
      <c r="L56" s="32" t="str">
        <f t="shared" si="5"/>
        <v xml:space="preserve"> </v>
      </c>
    </row>
    <row r="57" spans="1:12" x14ac:dyDescent="0.2">
      <c r="A57" s="32" t="s">
        <v>205</v>
      </c>
      <c r="B57" s="34">
        <v>884699</v>
      </c>
      <c r="C57" s="34">
        <v>14288080</v>
      </c>
      <c r="D57" s="34">
        <f t="shared" si="7"/>
        <v>15172779</v>
      </c>
      <c r="E57" s="34">
        <f t="shared" si="1"/>
        <v>-7144040</v>
      </c>
      <c r="G57" s="28"/>
      <c r="H57" s="28"/>
      <c r="I57" s="9">
        <f t="shared" si="2"/>
        <v>8028739</v>
      </c>
      <c r="J57" s="40">
        <f t="shared" si="8"/>
        <v>8.5655628767124965E-3</v>
      </c>
      <c r="K57" s="32" t="str">
        <f t="shared" si="4"/>
        <v>Yes</v>
      </c>
      <c r="L57" s="32" t="str">
        <f t="shared" si="5"/>
        <v xml:space="preserve"> </v>
      </c>
    </row>
    <row r="58" spans="1:12" x14ac:dyDescent="0.2">
      <c r="A58" s="32" t="s">
        <v>325</v>
      </c>
      <c r="B58" s="34">
        <v>0</v>
      </c>
      <c r="C58" s="34">
        <v>1098486</v>
      </c>
      <c r="D58" s="34">
        <f t="shared" si="7"/>
        <v>1098486</v>
      </c>
      <c r="E58" s="34">
        <f t="shared" si="1"/>
        <v>-549243</v>
      </c>
      <c r="G58" s="28"/>
      <c r="H58" s="28"/>
      <c r="I58" s="9">
        <f t="shared" si="2"/>
        <v>0</v>
      </c>
      <c r="J58" s="40">
        <f t="shared" si="8"/>
        <v>0</v>
      </c>
      <c r="K58" s="32" t="str">
        <f t="shared" si="4"/>
        <v>Yes</v>
      </c>
      <c r="L58" s="32" t="str">
        <f t="shared" si="5"/>
        <v xml:space="preserve"> </v>
      </c>
    </row>
    <row r="59" spans="1:12" x14ac:dyDescent="0.2">
      <c r="A59" s="32" t="s">
        <v>324</v>
      </c>
      <c r="B59" s="34">
        <v>995</v>
      </c>
      <c r="C59" s="34">
        <v>10610336</v>
      </c>
      <c r="D59" s="34">
        <f t="shared" si="7"/>
        <v>10611331</v>
      </c>
      <c r="E59" s="34">
        <f t="shared" si="1"/>
        <v>-5305168</v>
      </c>
      <c r="G59" s="28"/>
      <c r="H59" s="28"/>
      <c r="I59" s="9">
        <f t="shared" si="2"/>
        <v>0</v>
      </c>
      <c r="J59" s="40">
        <f t="shared" si="8"/>
        <v>0</v>
      </c>
      <c r="K59" s="32" t="str">
        <f t="shared" si="4"/>
        <v>Yes</v>
      </c>
      <c r="L59" s="32" t="str">
        <f t="shared" si="5"/>
        <v xml:space="preserve"> </v>
      </c>
    </row>
    <row r="60" spans="1:12" x14ac:dyDescent="0.2">
      <c r="A60" s="32" t="s">
        <v>206</v>
      </c>
      <c r="B60" s="34">
        <v>443</v>
      </c>
      <c r="C60" s="34">
        <v>0</v>
      </c>
      <c r="D60" s="34">
        <f t="shared" si="7"/>
        <v>443</v>
      </c>
      <c r="E60" s="34">
        <f t="shared" si="1"/>
        <v>0</v>
      </c>
      <c r="G60" s="28"/>
      <c r="H60" s="28"/>
      <c r="I60" s="9">
        <f t="shared" si="2"/>
        <v>0</v>
      </c>
      <c r="J60" s="40">
        <f t="shared" si="8"/>
        <v>0</v>
      </c>
      <c r="K60" s="32" t="str">
        <f t="shared" si="4"/>
        <v>Yes</v>
      </c>
      <c r="L60" s="32" t="str">
        <f t="shared" si="5"/>
        <v xml:space="preserve"> </v>
      </c>
    </row>
    <row r="61" spans="1:12" x14ac:dyDescent="0.2">
      <c r="A61" s="32" t="s">
        <v>207</v>
      </c>
      <c r="B61" s="34">
        <v>82404208</v>
      </c>
      <c r="C61" s="34">
        <v>84572586</v>
      </c>
      <c r="D61" s="34">
        <f t="shared" si="7"/>
        <v>166976794</v>
      </c>
      <c r="E61" s="34">
        <f t="shared" si="1"/>
        <v>-42286293</v>
      </c>
      <c r="G61" s="28"/>
      <c r="H61" s="28"/>
      <c r="I61" s="9">
        <f t="shared" si="2"/>
        <v>124690501</v>
      </c>
      <c r="J61" s="40">
        <f t="shared" si="8"/>
        <v>0.13302765558131638</v>
      </c>
      <c r="K61" s="32" t="str">
        <f t="shared" si="4"/>
        <v>Yes</v>
      </c>
      <c r="L61" s="32" t="str">
        <f t="shared" si="5"/>
        <v xml:space="preserve"> </v>
      </c>
    </row>
    <row r="62" spans="1:12" x14ac:dyDescent="0.2">
      <c r="A62" s="32" t="s">
        <v>208</v>
      </c>
      <c r="B62" s="34">
        <v>353847</v>
      </c>
      <c r="C62" s="34">
        <v>1410</v>
      </c>
      <c r="D62" s="34">
        <f t="shared" si="7"/>
        <v>355257</v>
      </c>
      <c r="E62" s="34">
        <f t="shared" si="1"/>
        <v>-705</v>
      </c>
      <c r="G62" s="28"/>
      <c r="H62" s="28"/>
      <c r="I62" s="9">
        <f t="shared" si="2"/>
        <v>354552</v>
      </c>
      <c r="J62" s="40">
        <f t="shared" si="8"/>
        <v>3.7825833534558406E-4</v>
      </c>
      <c r="K62" s="32" t="str">
        <f t="shared" si="4"/>
        <v>Yes</v>
      </c>
      <c r="L62" s="32" t="str">
        <f t="shared" si="5"/>
        <v xml:space="preserve"> </v>
      </c>
    </row>
    <row r="63" spans="1:12" x14ac:dyDescent="0.2">
      <c r="A63" s="32" t="s">
        <v>209</v>
      </c>
      <c r="B63" s="34">
        <v>57222269</v>
      </c>
      <c r="C63" s="34">
        <v>80631468</v>
      </c>
      <c r="D63" s="34">
        <f t="shared" ref="D63:D70" si="9">SUM(B63:C63)</f>
        <v>137853737</v>
      </c>
      <c r="E63" s="34">
        <f t="shared" si="1"/>
        <v>-40315734</v>
      </c>
      <c r="G63" s="28"/>
      <c r="H63" s="28"/>
      <c r="I63" s="9">
        <f t="shared" si="2"/>
        <v>97538003</v>
      </c>
      <c r="J63" s="40">
        <f t="shared" si="8"/>
        <v>0.10405966585356331</v>
      </c>
      <c r="K63" s="32" t="str">
        <f t="shared" si="4"/>
        <v>Yes</v>
      </c>
      <c r="L63" s="32" t="str">
        <f t="shared" si="5"/>
        <v xml:space="preserve"> </v>
      </c>
    </row>
    <row r="64" spans="1:12" x14ac:dyDescent="0.2">
      <c r="A64" s="32" t="s">
        <v>210</v>
      </c>
      <c r="B64" s="34">
        <v>8040204</v>
      </c>
      <c r="C64" s="34">
        <v>587176</v>
      </c>
      <c r="D64" s="34">
        <f t="shared" si="9"/>
        <v>8627380</v>
      </c>
      <c r="E64" s="34">
        <f t="shared" ref="E64:E80" si="10">C64*-0.5</f>
        <v>-293588</v>
      </c>
      <c r="G64" s="28"/>
      <c r="H64" s="28"/>
      <c r="I64" s="9">
        <f t="shared" ref="I64:I79" si="11">IF((VLOOKUP(A64,Crosswalk,2,FALSE)="Excluded"),0,(D64+E64+F64+G64+H64))</f>
        <v>8333792</v>
      </c>
      <c r="J64" s="40">
        <f t="shared" si="8"/>
        <v>8.8910125708960754E-3</v>
      </c>
      <c r="K64" s="32" t="str">
        <f t="shared" ref="K64:K80" si="12">IF(VLOOKUP(A64,Model,2,FALSE)&lt;&gt;"","Yes","No")</f>
        <v>Yes</v>
      </c>
      <c r="L64" s="32" t="str">
        <f t="shared" ref="L64:L80" si="13">IF((VLOOKUP(A64,Crosswalk,3,FALSE))=0," ",(VLOOKUP(A64,Crosswalk,3,FALSE)))</f>
        <v xml:space="preserve"> </v>
      </c>
    </row>
    <row r="65" spans="1:12" x14ac:dyDescent="0.2">
      <c r="A65" s="32" t="s">
        <v>211</v>
      </c>
      <c r="B65" s="34">
        <v>1256458</v>
      </c>
      <c r="C65" s="34">
        <v>0</v>
      </c>
      <c r="D65" s="34">
        <f t="shared" si="9"/>
        <v>1256458</v>
      </c>
      <c r="E65" s="34">
        <f t="shared" si="10"/>
        <v>0</v>
      </c>
      <c r="G65" s="28"/>
      <c r="H65" s="28"/>
      <c r="I65" s="9">
        <f t="shared" si="11"/>
        <v>1256458</v>
      </c>
      <c r="J65" s="40">
        <f t="shared" si="8"/>
        <v>1.3404682853619266E-3</v>
      </c>
      <c r="K65" s="32" t="str">
        <f t="shared" si="12"/>
        <v>Yes</v>
      </c>
      <c r="L65" s="32" t="str">
        <f t="shared" si="13"/>
        <v xml:space="preserve"> </v>
      </c>
    </row>
    <row r="66" spans="1:12" x14ac:dyDescent="0.2">
      <c r="A66" s="32" t="s">
        <v>212</v>
      </c>
      <c r="B66" s="34">
        <v>3137646</v>
      </c>
      <c r="C66" s="34">
        <v>0</v>
      </c>
      <c r="D66" s="34">
        <f t="shared" si="9"/>
        <v>3137646</v>
      </c>
      <c r="E66" s="34">
        <f t="shared" si="10"/>
        <v>0</v>
      </c>
      <c r="F66" s="28"/>
      <c r="G66" s="28"/>
      <c r="H66" s="28"/>
      <c r="I66" s="9">
        <f t="shared" si="11"/>
        <v>3137646</v>
      </c>
      <c r="J66" s="40">
        <f t="shared" ref="J66:J80" si="14">I66/(SUM($I$2:$I$80))</f>
        <v>3.3474377605082761E-3</v>
      </c>
      <c r="K66" s="32" t="str">
        <f t="shared" si="12"/>
        <v>Yes</v>
      </c>
      <c r="L66" s="32" t="str">
        <f t="shared" si="13"/>
        <v xml:space="preserve"> </v>
      </c>
    </row>
    <row r="67" spans="1:12" x14ac:dyDescent="0.2">
      <c r="A67" s="32" t="s">
        <v>213</v>
      </c>
      <c r="B67" s="34">
        <v>3939559</v>
      </c>
      <c r="C67" s="34">
        <v>3471</v>
      </c>
      <c r="D67" s="34">
        <f t="shared" si="9"/>
        <v>3943030</v>
      </c>
      <c r="E67" s="34">
        <f t="shared" si="10"/>
        <v>-1735.5</v>
      </c>
      <c r="F67" s="28"/>
      <c r="G67" s="28"/>
      <c r="H67" s="28"/>
      <c r="I67" s="9">
        <f t="shared" si="11"/>
        <v>3941294.5</v>
      </c>
      <c r="J67" s="40">
        <f t="shared" si="14"/>
        <v>4.2048204400954052E-3</v>
      </c>
      <c r="K67" s="32" t="str">
        <f t="shared" si="12"/>
        <v>Yes</v>
      </c>
      <c r="L67" s="32" t="str">
        <f t="shared" si="13"/>
        <v xml:space="preserve"> </v>
      </c>
    </row>
    <row r="68" spans="1:12" x14ac:dyDescent="0.2">
      <c r="A68" s="32" t="s">
        <v>214</v>
      </c>
      <c r="B68" s="34">
        <v>2455950</v>
      </c>
      <c r="C68" s="34">
        <v>0</v>
      </c>
      <c r="D68" s="34">
        <f t="shared" si="9"/>
        <v>2455950</v>
      </c>
      <c r="E68" s="34">
        <f t="shared" si="10"/>
        <v>0</v>
      </c>
      <c r="F68" s="28"/>
      <c r="G68" s="28"/>
      <c r="H68" s="28"/>
      <c r="I68" s="9">
        <f t="shared" si="11"/>
        <v>2455950</v>
      </c>
      <c r="J68" s="40">
        <f t="shared" si="14"/>
        <v>2.6201616651210179E-3</v>
      </c>
      <c r="K68" s="32" t="str">
        <f t="shared" si="12"/>
        <v>Yes</v>
      </c>
      <c r="L68" s="32" t="str">
        <f t="shared" si="13"/>
        <v xml:space="preserve"> </v>
      </c>
    </row>
    <row r="69" spans="1:12" x14ac:dyDescent="0.2">
      <c r="A69" s="32" t="s">
        <v>215</v>
      </c>
      <c r="B69" s="34">
        <v>2539339</v>
      </c>
      <c r="C69" s="34">
        <v>40663</v>
      </c>
      <c r="D69" s="34">
        <f t="shared" si="9"/>
        <v>2580002</v>
      </c>
      <c r="E69" s="34">
        <f t="shared" si="10"/>
        <v>-20331.5</v>
      </c>
      <c r="F69" s="28"/>
      <c r="G69" s="28"/>
      <c r="H69" s="28"/>
      <c r="I69" s="9">
        <f t="shared" si="11"/>
        <v>2559670.5</v>
      </c>
      <c r="J69" s="40">
        <f t="shared" si="14"/>
        <v>2.7308172069631501E-3</v>
      </c>
      <c r="K69" s="32" t="str">
        <f t="shared" si="12"/>
        <v>Yes</v>
      </c>
      <c r="L69" s="32" t="str">
        <f t="shared" si="13"/>
        <v xml:space="preserve"> </v>
      </c>
    </row>
    <row r="70" spans="1:12" x14ac:dyDescent="0.2">
      <c r="A70" s="32" t="s">
        <v>326</v>
      </c>
      <c r="B70" s="34">
        <v>3225</v>
      </c>
      <c r="C70" s="34">
        <v>0</v>
      </c>
      <c r="D70" s="34">
        <f t="shared" si="9"/>
        <v>3225</v>
      </c>
      <c r="E70" s="34">
        <f t="shared" si="10"/>
        <v>0</v>
      </c>
      <c r="F70" s="28"/>
      <c r="G70" s="28"/>
      <c r="H70" s="28"/>
      <c r="I70" s="9">
        <f t="shared" si="11"/>
        <v>0</v>
      </c>
      <c r="J70" s="40">
        <f t="shared" si="14"/>
        <v>0</v>
      </c>
      <c r="K70" s="32" t="str">
        <f t="shared" si="12"/>
        <v>Yes</v>
      </c>
      <c r="L70" s="32" t="str">
        <f t="shared" si="13"/>
        <v xml:space="preserve"> </v>
      </c>
    </row>
    <row r="71" spans="1:12" x14ac:dyDescent="0.2">
      <c r="A71" s="32" t="s">
        <v>216</v>
      </c>
      <c r="B71" s="34">
        <v>54261300</v>
      </c>
      <c r="C71" s="34">
        <v>0</v>
      </c>
      <c r="D71" s="34">
        <f t="shared" ref="D71:D76" si="15">SUM(B71:C71)</f>
        <v>54261300</v>
      </c>
      <c r="E71" s="34">
        <f t="shared" si="10"/>
        <v>0</v>
      </c>
      <c r="F71" s="28">
        <v>-46824255</v>
      </c>
      <c r="G71" s="28"/>
      <c r="H71" s="28"/>
      <c r="I71" s="9">
        <f t="shared" si="11"/>
        <v>7437045</v>
      </c>
      <c r="J71" s="40">
        <f t="shared" si="14"/>
        <v>7.9343065660049845E-3</v>
      </c>
      <c r="K71" s="32" t="str">
        <f t="shared" si="12"/>
        <v>Yes</v>
      </c>
      <c r="L71" s="32" t="str">
        <f t="shared" si="13"/>
        <v>Excludes insurance claim payouts (529721 in subfund 700000 and 521900 in subfund 700001)</v>
      </c>
    </row>
    <row r="72" spans="1:12" x14ac:dyDescent="0.2">
      <c r="A72" s="32" t="s">
        <v>217</v>
      </c>
      <c r="B72" s="34">
        <v>17095875</v>
      </c>
      <c r="C72" s="34">
        <v>2298947</v>
      </c>
      <c r="D72" s="34">
        <f t="shared" si="15"/>
        <v>19394822</v>
      </c>
      <c r="E72" s="34">
        <f t="shared" si="10"/>
        <v>-1149473.5</v>
      </c>
      <c r="F72" s="28"/>
      <c r="G72" s="28"/>
      <c r="H72" s="28"/>
      <c r="I72" s="89">
        <f t="shared" si="11"/>
        <v>18245348.5</v>
      </c>
      <c r="J72" s="40">
        <f t="shared" si="14"/>
        <v>1.9465283375668586E-2</v>
      </c>
      <c r="K72" s="32" t="str">
        <f t="shared" si="12"/>
        <v>Yes</v>
      </c>
      <c r="L72" s="32" t="str">
        <f t="shared" si="13"/>
        <v xml:space="preserve"> </v>
      </c>
    </row>
    <row r="73" spans="1:12" x14ac:dyDescent="0.2">
      <c r="A73" s="32" t="s">
        <v>218</v>
      </c>
      <c r="B73" s="34">
        <v>18730018</v>
      </c>
      <c r="C73" s="34">
        <v>8971144</v>
      </c>
      <c r="D73" s="34">
        <f t="shared" si="15"/>
        <v>27701162</v>
      </c>
      <c r="E73" s="34">
        <f t="shared" si="10"/>
        <v>-4485572</v>
      </c>
      <c r="F73" s="28"/>
      <c r="G73" s="28"/>
      <c r="H73" s="28"/>
      <c r="I73" s="89">
        <f t="shared" si="11"/>
        <v>23215590</v>
      </c>
      <c r="J73" s="40">
        <f t="shared" si="14"/>
        <v>2.4767849081278874E-2</v>
      </c>
      <c r="K73" s="32" t="str">
        <f t="shared" si="12"/>
        <v>Yes</v>
      </c>
      <c r="L73" s="32" t="str">
        <f t="shared" si="13"/>
        <v xml:space="preserve"> </v>
      </c>
    </row>
    <row r="74" spans="1:12" x14ac:dyDescent="0.2">
      <c r="A74" s="32" t="s">
        <v>219</v>
      </c>
      <c r="B74" s="34">
        <v>5033092</v>
      </c>
      <c r="C74" s="34">
        <v>0</v>
      </c>
      <c r="D74" s="34">
        <f t="shared" si="15"/>
        <v>5033092</v>
      </c>
      <c r="E74" s="34">
        <f t="shared" si="10"/>
        <v>0</v>
      </c>
      <c r="F74" s="28"/>
      <c r="G74" s="28"/>
      <c r="H74" s="28"/>
      <c r="I74" s="89">
        <f t="shared" si="11"/>
        <v>5033092</v>
      </c>
      <c r="J74" s="40">
        <f t="shared" si="14"/>
        <v>5.3696185652913429E-3</v>
      </c>
      <c r="K74" s="32" t="str">
        <f t="shared" si="12"/>
        <v>Yes</v>
      </c>
      <c r="L74" s="32" t="str">
        <f t="shared" si="13"/>
        <v xml:space="preserve"> </v>
      </c>
    </row>
    <row r="75" spans="1:12" x14ac:dyDescent="0.2">
      <c r="A75" s="32" t="s">
        <v>220</v>
      </c>
      <c r="B75" s="34">
        <v>6669016</v>
      </c>
      <c r="C75" s="34">
        <v>86047</v>
      </c>
      <c r="D75" s="34">
        <f t="shared" si="15"/>
        <v>6755063</v>
      </c>
      <c r="E75" s="34">
        <f t="shared" si="10"/>
        <v>-43023.5</v>
      </c>
      <c r="F75" s="28">
        <v>-3178853</v>
      </c>
      <c r="G75" s="28"/>
      <c r="H75" s="28"/>
      <c r="I75" s="89">
        <f t="shared" si="11"/>
        <v>3533186.5</v>
      </c>
      <c r="J75" s="40">
        <f t="shared" si="14"/>
        <v>3.7694252012553599E-3</v>
      </c>
      <c r="K75" s="32" t="str">
        <f t="shared" si="12"/>
        <v>Yes</v>
      </c>
      <c r="L75" s="32" t="str">
        <f t="shared" si="13"/>
        <v>Excludes risk mgmt claim payouts (529700)</v>
      </c>
    </row>
    <row r="76" spans="1:12" x14ac:dyDescent="0.2">
      <c r="A76" s="32" t="s">
        <v>221</v>
      </c>
      <c r="B76" s="34">
        <v>4081097</v>
      </c>
      <c r="C76" s="34">
        <v>86047</v>
      </c>
      <c r="D76" s="34">
        <f t="shared" si="15"/>
        <v>4167144</v>
      </c>
      <c r="E76" s="34">
        <f t="shared" si="10"/>
        <v>-43023.5</v>
      </c>
      <c r="F76" s="28">
        <v>-2165311</v>
      </c>
      <c r="G76" s="28"/>
      <c r="H76" s="28"/>
      <c r="I76" s="89">
        <f t="shared" si="11"/>
        <v>1958809.5</v>
      </c>
      <c r="J76" s="40">
        <f t="shared" si="14"/>
        <v>2.0897809650745613E-3</v>
      </c>
      <c r="K76" s="32" t="str">
        <f t="shared" si="12"/>
        <v>Yes</v>
      </c>
      <c r="L76" s="32" t="str">
        <f t="shared" si="13"/>
        <v>Excludes risk mgmt claim payouts (529700)</v>
      </c>
    </row>
    <row r="77" spans="1:12" x14ac:dyDescent="0.2">
      <c r="A77" s="32" t="s">
        <v>222</v>
      </c>
      <c r="B77" s="34">
        <v>37764740</v>
      </c>
      <c r="C77" s="34">
        <v>3698036</v>
      </c>
      <c r="D77" s="34">
        <f t="shared" ref="D77:D80" si="16">SUM(B77:C77)</f>
        <v>41462776</v>
      </c>
      <c r="E77" s="34">
        <f t="shared" si="10"/>
        <v>-1849018</v>
      </c>
      <c r="F77" s="28"/>
      <c r="G77" s="28"/>
      <c r="H77" s="28"/>
      <c r="I77" s="89">
        <f t="shared" si="11"/>
        <v>39613758</v>
      </c>
      <c r="J77" s="40">
        <f t="shared" si="14"/>
        <v>4.2262444318076929E-2</v>
      </c>
      <c r="K77" s="32" t="str">
        <f t="shared" si="12"/>
        <v>Yes</v>
      </c>
      <c r="L77" s="32" t="str">
        <f t="shared" si="13"/>
        <v xml:space="preserve"> </v>
      </c>
    </row>
    <row r="78" spans="1:12" x14ac:dyDescent="0.2">
      <c r="A78" s="32" t="s">
        <v>223</v>
      </c>
      <c r="B78" s="34">
        <v>2830345</v>
      </c>
      <c r="C78" s="34">
        <v>185690</v>
      </c>
      <c r="D78" s="34">
        <f t="shared" si="16"/>
        <v>3016035</v>
      </c>
      <c r="E78" s="34">
        <f t="shared" si="10"/>
        <v>-92845</v>
      </c>
      <c r="G78" s="28"/>
      <c r="H78" s="28"/>
      <c r="I78" s="9">
        <f t="shared" si="11"/>
        <v>2923190</v>
      </c>
      <c r="J78" s="40">
        <f t="shared" si="14"/>
        <v>3.1186426343635287E-3</v>
      </c>
      <c r="K78" s="32" t="str">
        <f t="shared" si="12"/>
        <v>Yes</v>
      </c>
      <c r="L78" s="32" t="str">
        <f t="shared" si="13"/>
        <v xml:space="preserve"> </v>
      </c>
    </row>
    <row r="79" spans="1:12" x14ac:dyDescent="0.2">
      <c r="A79" s="32" t="s">
        <v>224</v>
      </c>
      <c r="B79" s="34">
        <v>111700063</v>
      </c>
      <c r="C79" s="34">
        <v>96313</v>
      </c>
      <c r="D79" s="34">
        <f t="shared" si="16"/>
        <v>111796376</v>
      </c>
      <c r="E79" s="34">
        <f t="shared" si="10"/>
        <v>-48156.5</v>
      </c>
      <c r="F79" s="34">
        <f>-103355638-5765902</f>
        <v>-109121540</v>
      </c>
      <c r="G79" s="28"/>
      <c r="H79" s="28"/>
      <c r="I79" s="9">
        <f t="shared" si="11"/>
        <v>2626679.5</v>
      </c>
      <c r="J79" s="40">
        <f t="shared" si="14"/>
        <v>2.8023066155496825E-3</v>
      </c>
      <c r="K79" s="32" t="str">
        <f t="shared" si="12"/>
        <v>Yes</v>
      </c>
      <c r="L79" s="32" t="str">
        <f t="shared" si="13"/>
        <v>Excludes retirement payouts, PERS contributions, and disability/death benefits (547000, 547100)</v>
      </c>
    </row>
    <row r="80" spans="1:12" x14ac:dyDescent="0.2">
      <c r="A80" s="32" t="s">
        <v>225</v>
      </c>
      <c r="B80" s="34">
        <v>8521</v>
      </c>
      <c r="C80" s="34">
        <v>0</v>
      </c>
      <c r="D80" s="34">
        <f t="shared" si="16"/>
        <v>8521</v>
      </c>
      <c r="E80" s="34">
        <f t="shared" si="10"/>
        <v>0</v>
      </c>
      <c r="I80" s="9">
        <v>0</v>
      </c>
      <c r="J80" s="40">
        <f t="shared" si="14"/>
        <v>0</v>
      </c>
      <c r="K80" s="32" t="str">
        <f t="shared" si="12"/>
        <v>Yes</v>
      </c>
      <c r="L80" s="32" t="str">
        <f t="shared" si="13"/>
        <v xml:space="preserve"> </v>
      </c>
    </row>
  </sheetData>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3"/>
  <sheetViews>
    <sheetView topLeftCell="A6" workbookViewId="0">
      <selection activeCell="B14" sqref="B14:C14"/>
    </sheetView>
  </sheetViews>
  <sheetFormatPr defaultColWidth="8.7109375" defaultRowHeight="12.75" x14ac:dyDescent="0.2"/>
  <cols>
    <col min="1" max="1" width="11.42578125" style="32" bestFit="1" customWidth="1"/>
    <col min="2" max="2" width="8.42578125" style="32" bestFit="1" customWidth="1"/>
    <col min="3" max="3" width="8.42578125" style="32" customWidth="1"/>
    <col min="4" max="4" width="12.5703125" style="34" customWidth="1"/>
    <col min="5" max="5" width="11.28515625" style="34" customWidth="1"/>
    <col min="6" max="6" width="11" style="32" customWidth="1"/>
    <col min="7" max="7" width="10.28515625" style="32" customWidth="1"/>
    <col min="8" max="8" width="9.7109375" style="32" customWidth="1"/>
    <col min="9" max="16384" width="8.7109375" style="32"/>
  </cols>
  <sheetData>
    <row r="1" spans="1:8" s="14" customFormat="1" ht="60" x14ac:dyDescent="0.25">
      <c r="A1" s="16" t="s">
        <v>226</v>
      </c>
      <c r="B1" s="21" t="s">
        <v>383</v>
      </c>
      <c r="C1" s="21" t="s">
        <v>408</v>
      </c>
      <c r="D1" s="87" t="s">
        <v>407</v>
      </c>
      <c r="E1" s="87" t="s">
        <v>384</v>
      </c>
      <c r="F1" s="17" t="s">
        <v>340</v>
      </c>
      <c r="G1" s="5" t="s">
        <v>338</v>
      </c>
      <c r="H1" s="5" t="s">
        <v>343</v>
      </c>
    </row>
    <row r="2" spans="1:8" ht="15" x14ac:dyDescent="0.25">
      <c r="A2" s="101" t="s">
        <v>161</v>
      </c>
      <c r="B2" s="102">
        <v>67</v>
      </c>
      <c r="C2" s="63"/>
      <c r="D2" s="34">
        <v>-67</v>
      </c>
      <c r="E2" s="34">
        <f t="shared" ref="E2:E42" si="0">IF((VLOOKUP(A2,Crosswalk,2,FALSE)="Excluded"),0,(SUM(B2+C2+D2)))</f>
        <v>0</v>
      </c>
      <c r="F2" s="18">
        <f>E2/SUM($E$2:$E$42)</f>
        <v>0</v>
      </c>
      <c r="G2" s="32" t="str">
        <f t="shared" ref="G2:G42" si="1">IF(VLOOKUP(A2,Model,2,FALSE)&lt;&gt;"","Yes","No")</f>
        <v>Yes</v>
      </c>
      <c r="H2" s="32" t="str">
        <f t="shared" ref="H2:H40" si="2">IF((VLOOKUP(A2,Crosswalk,3,FALSE))=0," ",(VLOOKUP(A2,Crosswalk,3,FALSE)))</f>
        <v>100% Overhead</v>
      </c>
    </row>
    <row r="3" spans="1:8" ht="15" x14ac:dyDescent="0.25">
      <c r="A3" s="101" t="s">
        <v>162</v>
      </c>
      <c r="B3" s="102">
        <v>73</v>
      </c>
      <c r="C3" s="63">
        <v>-14</v>
      </c>
      <c r="D3" s="34">
        <v>-59</v>
      </c>
      <c r="E3" s="34">
        <f t="shared" si="0"/>
        <v>0</v>
      </c>
      <c r="F3" s="18">
        <f t="shared" ref="F3:F42" si="3">E3/SUM($E$2:$E$42)</f>
        <v>0</v>
      </c>
      <c r="G3" s="32" t="str">
        <f t="shared" si="1"/>
        <v>Yes</v>
      </c>
      <c r="H3" s="32" t="str">
        <f t="shared" si="2"/>
        <v>Exclude IPR starting in FY 2017-18 actuals</v>
      </c>
    </row>
    <row r="4" spans="1:8" ht="15" x14ac:dyDescent="0.25">
      <c r="A4" s="101" t="s">
        <v>342</v>
      </c>
      <c r="B4" s="102">
        <v>15</v>
      </c>
      <c r="C4" s="63">
        <v>-1</v>
      </c>
      <c r="D4" s="34">
        <v>-14</v>
      </c>
      <c r="E4" s="34">
        <f t="shared" si="0"/>
        <v>0</v>
      </c>
      <c r="F4" s="18">
        <f t="shared" si="3"/>
        <v>0</v>
      </c>
      <c r="G4" s="32" t="str">
        <f t="shared" si="1"/>
        <v>Yes</v>
      </c>
      <c r="H4" s="32" t="str">
        <f t="shared" si="2"/>
        <v>100% Overhead</v>
      </c>
    </row>
    <row r="5" spans="1:8" ht="15" x14ac:dyDescent="0.25">
      <c r="A5" s="101" t="s">
        <v>164</v>
      </c>
      <c r="B5" s="102">
        <v>20</v>
      </c>
      <c r="C5" s="63">
        <v>-2</v>
      </c>
      <c r="D5" s="34">
        <v>-18</v>
      </c>
      <c r="E5" s="34">
        <f t="shared" si="0"/>
        <v>0</v>
      </c>
      <c r="F5" s="18">
        <f t="shared" si="3"/>
        <v>0</v>
      </c>
      <c r="G5" s="32" t="str">
        <f t="shared" si="1"/>
        <v>Yes</v>
      </c>
      <c r="H5" s="32" t="str">
        <f t="shared" si="2"/>
        <v>100% Overhead</v>
      </c>
    </row>
    <row r="6" spans="1:8" ht="15" x14ac:dyDescent="0.25">
      <c r="A6" s="101" t="s">
        <v>165</v>
      </c>
      <c r="B6" s="102">
        <v>740</v>
      </c>
      <c r="C6" s="63">
        <v>-14</v>
      </c>
      <c r="D6" s="28">
        <v>-1</v>
      </c>
      <c r="E6" s="34">
        <f t="shared" si="0"/>
        <v>725</v>
      </c>
      <c r="F6" s="18">
        <f t="shared" si="3"/>
        <v>0.10007757737722206</v>
      </c>
      <c r="G6" s="32" t="str">
        <f t="shared" si="1"/>
        <v>Yes</v>
      </c>
      <c r="H6" s="32" t="str">
        <f t="shared" si="2"/>
        <v>Exclude expenditures for emergency mgmt (FREO000004 Fund Center)</v>
      </c>
    </row>
    <row r="7" spans="1:8" ht="15" x14ac:dyDescent="0.25">
      <c r="A7" s="101" t="s">
        <v>157</v>
      </c>
      <c r="B7" s="102">
        <v>10</v>
      </c>
      <c r="C7" s="63"/>
      <c r="D7" s="34">
        <v>-10</v>
      </c>
      <c r="E7" s="34">
        <f t="shared" si="0"/>
        <v>0</v>
      </c>
      <c r="F7" s="18">
        <f t="shared" si="3"/>
        <v>0</v>
      </c>
      <c r="G7" s="32" t="str">
        <f t="shared" si="1"/>
        <v>Yes</v>
      </c>
      <c r="H7" s="32" t="str">
        <f t="shared" si="2"/>
        <v>100% Overhead</v>
      </c>
    </row>
    <row r="8" spans="1:8" ht="15" x14ac:dyDescent="0.25">
      <c r="A8" s="101" t="s">
        <v>166</v>
      </c>
      <c r="B8" s="102">
        <v>65</v>
      </c>
      <c r="C8" s="63">
        <v>-3</v>
      </c>
      <c r="D8" s="28"/>
      <c r="E8" s="34">
        <f t="shared" si="0"/>
        <v>62</v>
      </c>
      <c r="F8" s="18">
        <f t="shared" si="3"/>
        <v>8.5583583412245073E-3</v>
      </c>
      <c r="G8" s="32" t="str">
        <f t="shared" si="1"/>
        <v>Yes</v>
      </c>
      <c r="H8" s="32" t="str">
        <f t="shared" si="2"/>
        <v xml:space="preserve"> </v>
      </c>
    </row>
    <row r="9" spans="1:8" ht="15" x14ac:dyDescent="0.25">
      <c r="A9" s="101" t="s">
        <v>159</v>
      </c>
      <c r="B9" s="102">
        <v>268</v>
      </c>
      <c r="C9" s="63">
        <v>-9</v>
      </c>
      <c r="D9" s="28">
        <f>-168-11</f>
        <v>-179</v>
      </c>
      <c r="E9" s="34">
        <f t="shared" si="0"/>
        <v>80</v>
      </c>
      <c r="F9" s="18">
        <f t="shared" si="3"/>
        <v>1.1043043020934848E-2</v>
      </c>
      <c r="G9" s="32" t="str">
        <f t="shared" si="1"/>
        <v>Yes</v>
      </c>
      <c r="H9" s="32" t="str">
        <f t="shared" si="2"/>
        <v>Exclude MFHR, MFDR, MFPU, MFOP, and MFFS cost centers. Beginning FY 18-19 need to also adjust for MFRB000002 functional area LACROPBAAR (accounts receiveable)</v>
      </c>
    </row>
    <row r="10" spans="1:8" ht="15" x14ac:dyDescent="0.25">
      <c r="A10" s="101" t="s">
        <v>163</v>
      </c>
      <c r="B10" s="102">
        <v>22</v>
      </c>
      <c r="C10" s="63">
        <v>-3</v>
      </c>
      <c r="D10" s="28">
        <v>-17</v>
      </c>
      <c r="E10" s="34">
        <f t="shared" si="0"/>
        <v>2</v>
      </c>
      <c r="F10" s="18">
        <f t="shared" si="3"/>
        <v>2.7607607552337124E-4</v>
      </c>
      <c r="G10" s="32" t="str">
        <f t="shared" si="1"/>
        <v>Yes</v>
      </c>
      <c r="H10" s="32" t="str">
        <f t="shared" si="2"/>
        <v>Exclude expenditures for Admin &amp; Support (LAMYAS Functional Area), include only OYVP for positions</v>
      </c>
    </row>
    <row r="11" spans="1:8" ht="15" x14ac:dyDescent="0.25">
      <c r="A11" s="101" t="s">
        <v>160</v>
      </c>
      <c r="B11" s="102">
        <v>63</v>
      </c>
      <c r="C11" s="63">
        <v>-7</v>
      </c>
      <c r="D11" s="28">
        <f>-6</f>
        <v>-6</v>
      </c>
      <c r="E11" s="34">
        <f t="shared" si="0"/>
        <v>50</v>
      </c>
      <c r="F11" s="18">
        <f t="shared" si="3"/>
        <v>6.9019018880842808E-3</v>
      </c>
      <c r="G11" s="32" t="str">
        <f t="shared" si="1"/>
        <v>Yes</v>
      </c>
      <c r="H11" s="32" t="str">
        <f t="shared" si="2"/>
        <v>Exclude expenditures for Information &amp; Referral and Public Involvement best practices (CDIR - Info &amp; Rfrrl org unit for positions, CDNRNOPI - no positions)</v>
      </c>
    </row>
    <row r="12" spans="1:8" ht="15" x14ac:dyDescent="0.25">
      <c r="A12" s="101" t="s">
        <v>316</v>
      </c>
      <c r="B12" s="102">
        <v>10</v>
      </c>
      <c r="C12" s="63"/>
      <c r="D12" s="86">
        <f>-0.1-1-1.67-1.93-0.9-0.62</f>
        <v>-6.2200000000000006</v>
      </c>
      <c r="E12" s="85">
        <f t="shared" si="0"/>
        <v>3.7799999999999994</v>
      </c>
      <c r="F12" s="18">
        <f t="shared" si="3"/>
        <v>5.2178378273917149E-4</v>
      </c>
      <c r="G12" s="32" t="str">
        <f t="shared" si="1"/>
        <v>Yes</v>
      </c>
      <c r="H12" s="32" t="str">
        <f t="shared" si="2"/>
        <v>Exclude expenditures for Citywide Equity, Civil Rights, and % admin (CDCE, CDCR &amp; portion CDAS) - use base budget for position allocations</v>
      </c>
    </row>
    <row r="13" spans="1:8" ht="15" x14ac:dyDescent="0.25">
      <c r="A13" s="101" t="s">
        <v>152</v>
      </c>
      <c r="B13" s="102">
        <v>16</v>
      </c>
      <c r="C13" s="63">
        <v>-2</v>
      </c>
      <c r="D13" s="28">
        <v>-9</v>
      </c>
      <c r="E13" s="34">
        <f t="shared" si="0"/>
        <v>5</v>
      </c>
      <c r="F13" s="18">
        <f t="shared" si="3"/>
        <v>6.9019018880842802E-4</v>
      </c>
      <c r="G13" s="32" t="str">
        <f t="shared" si="1"/>
        <v>Yes</v>
      </c>
      <c r="H13" s="32" t="str">
        <f t="shared" si="2"/>
        <v>Exclude Commissioner's Office (PACO000001)</v>
      </c>
    </row>
    <row r="14" spans="1:8" ht="15" x14ac:dyDescent="0.25">
      <c r="A14" s="101" t="s">
        <v>167</v>
      </c>
      <c r="B14" s="102">
        <v>5307</v>
      </c>
      <c r="C14" s="63">
        <v>-3172</v>
      </c>
      <c r="E14" s="34">
        <f t="shared" si="0"/>
        <v>2135</v>
      </c>
      <c r="F14" s="18">
        <f t="shared" si="3"/>
        <v>0.29471121062119876</v>
      </c>
      <c r="G14" s="32" t="str">
        <f t="shared" si="1"/>
        <v>Yes</v>
      </c>
      <c r="H14" s="32" t="str">
        <f t="shared" si="2"/>
        <v xml:space="preserve"> </v>
      </c>
    </row>
    <row r="15" spans="1:8" ht="15" x14ac:dyDescent="0.25">
      <c r="A15" s="101" t="s">
        <v>168</v>
      </c>
      <c r="B15" s="102">
        <v>1187</v>
      </c>
      <c r="C15" s="63"/>
      <c r="D15" s="28"/>
      <c r="E15" s="34">
        <f t="shared" si="0"/>
        <v>1187</v>
      </c>
      <c r="F15" s="18">
        <f t="shared" si="3"/>
        <v>0.16385115082312082</v>
      </c>
      <c r="G15" s="32" t="str">
        <f t="shared" si="1"/>
        <v>Yes</v>
      </c>
      <c r="H15" s="32" t="str">
        <f t="shared" si="2"/>
        <v xml:space="preserve"> </v>
      </c>
    </row>
    <row r="16" spans="1:8" ht="15" x14ac:dyDescent="0.25">
      <c r="A16" s="101" t="s">
        <v>151</v>
      </c>
      <c r="B16" s="102">
        <v>89</v>
      </c>
      <c r="C16" s="63">
        <v>-3</v>
      </c>
      <c r="D16" s="28">
        <f>-(10*0.5)-6.4</f>
        <v>-11.4</v>
      </c>
      <c r="E16" s="34">
        <f t="shared" si="0"/>
        <v>74.599999999999994</v>
      </c>
      <c r="F16" s="18">
        <f t="shared" si="3"/>
        <v>1.0297637617021746E-2</v>
      </c>
      <c r="G16" s="32" t="str">
        <f t="shared" si="1"/>
        <v>Yes</v>
      </c>
      <c r="H16" s="32" t="str">
        <f t="shared" si="2"/>
        <v>Exclude expenditures for Comp Planning &amp; 1/2 of district liaisons (CDAPDI - Dist Plan org unit for positions, CDCPCM - use base budget for positions)</v>
      </c>
    </row>
    <row r="17" spans="1:8" ht="15" x14ac:dyDescent="0.25">
      <c r="A17" s="101" t="s">
        <v>153</v>
      </c>
      <c r="B17" s="102">
        <v>10</v>
      </c>
      <c r="C17" s="63">
        <v>-2</v>
      </c>
      <c r="D17" s="34">
        <v>-8</v>
      </c>
      <c r="E17" s="34">
        <f t="shared" si="0"/>
        <v>0</v>
      </c>
      <c r="F17" s="18">
        <f t="shared" si="3"/>
        <v>0</v>
      </c>
      <c r="G17" s="32" t="str">
        <f t="shared" si="1"/>
        <v>Yes</v>
      </c>
      <c r="H17" s="32" t="str">
        <f t="shared" si="2"/>
        <v>100% Overhead</v>
      </c>
    </row>
    <row r="18" spans="1:8" ht="15" x14ac:dyDescent="0.25">
      <c r="A18" s="101" t="s">
        <v>154</v>
      </c>
      <c r="B18" s="102">
        <v>8</v>
      </c>
      <c r="C18" s="63">
        <v>-1</v>
      </c>
      <c r="D18" s="34">
        <v>-7</v>
      </c>
      <c r="E18" s="34">
        <f t="shared" si="0"/>
        <v>0</v>
      </c>
      <c r="F18" s="18">
        <f t="shared" si="3"/>
        <v>0</v>
      </c>
      <c r="G18" s="32" t="str">
        <f t="shared" si="1"/>
        <v>Yes</v>
      </c>
      <c r="H18" s="32" t="str">
        <f t="shared" si="2"/>
        <v>100% Overhead</v>
      </c>
    </row>
    <row r="19" spans="1:8" ht="15" x14ac:dyDescent="0.25">
      <c r="A19" s="101" t="s">
        <v>155</v>
      </c>
      <c r="B19" s="102">
        <v>12</v>
      </c>
      <c r="C19" s="63">
        <v>-3</v>
      </c>
      <c r="D19" s="34">
        <v>-9</v>
      </c>
      <c r="E19" s="34">
        <f t="shared" si="0"/>
        <v>0</v>
      </c>
      <c r="F19" s="18">
        <f t="shared" si="3"/>
        <v>0</v>
      </c>
      <c r="G19" s="32" t="str">
        <f t="shared" si="1"/>
        <v>Yes</v>
      </c>
      <c r="H19" s="32" t="str">
        <f t="shared" si="2"/>
        <v>100% Overhead</v>
      </c>
    </row>
    <row r="20" spans="1:8" ht="15" x14ac:dyDescent="0.25">
      <c r="A20" s="101" t="s">
        <v>170</v>
      </c>
      <c r="B20" s="102">
        <v>823</v>
      </c>
      <c r="C20" s="63">
        <v>-47</v>
      </c>
      <c r="E20" s="34">
        <f t="shared" si="0"/>
        <v>776</v>
      </c>
      <c r="F20" s="18">
        <f t="shared" si="3"/>
        <v>0.10711751730306804</v>
      </c>
      <c r="G20" s="32" t="str">
        <f t="shared" si="1"/>
        <v>Yes</v>
      </c>
      <c r="H20" s="32" t="str">
        <f t="shared" si="2"/>
        <v xml:space="preserve"> </v>
      </c>
    </row>
    <row r="21" spans="1:8" ht="15" x14ac:dyDescent="0.25">
      <c r="A21" s="101" t="s">
        <v>171</v>
      </c>
      <c r="B21" s="102">
        <v>146</v>
      </c>
      <c r="C21" s="63">
        <v>-3</v>
      </c>
      <c r="E21" s="34">
        <f t="shared" si="0"/>
        <v>143</v>
      </c>
      <c r="F21" s="18">
        <f t="shared" si="3"/>
        <v>1.9739439399921042E-2</v>
      </c>
      <c r="G21" s="32" t="str">
        <f t="shared" si="1"/>
        <v>Yes</v>
      </c>
      <c r="H21" s="32" t="str">
        <f t="shared" si="2"/>
        <v xml:space="preserve"> </v>
      </c>
    </row>
    <row r="22" spans="1:8" ht="15" x14ac:dyDescent="0.25">
      <c r="A22" s="101" t="s">
        <v>173</v>
      </c>
      <c r="B22" s="102">
        <v>328</v>
      </c>
      <c r="C22" s="63">
        <v>-11</v>
      </c>
      <c r="E22" s="34">
        <f t="shared" si="0"/>
        <v>317</v>
      </c>
      <c r="F22" s="18">
        <f t="shared" si="3"/>
        <v>4.3758057970454338E-2</v>
      </c>
      <c r="G22" s="32" t="str">
        <f t="shared" si="1"/>
        <v>Yes</v>
      </c>
      <c r="H22" s="32" t="str">
        <f t="shared" si="2"/>
        <v xml:space="preserve"> </v>
      </c>
    </row>
    <row r="23" spans="1:8" ht="15" x14ac:dyDescent="0.25">
      <c r="A23" s="101" t="s">
        <v>181</v>
      </c>
      <c r="B23" s="102">
        <v>5</v>
      </c>
      <c r="C23" s="63"/>
      <c r="D23" s="28">
        <v>-5</v>
      </c>
      <c r="E23" s="34">
        <f t="shared" si="0"/>
        <v>0</v>
      </c>
      <c r="F23" s="18">
        <f t="shared" si="3"/>
        <v>0</v>
      </c>
      <c r="G23" s="32" t="str">
        <f t="shared" si="1"/>
        <v>Yes</v>
      </c>
      <c r="H23" s="32" t="str">
        <f t="shared" si="2"/>
        <v>Fixed at $25,000 (hardcoded in Model)</v>
      </c>
    </row>
    <row r="24" spans="1:8" ht="15" x14ac:dyDescent="0.25">
      <c r="A24" s="101" t="s">
        <v>205</v>
      </c>
      <c r="B24" s="102">
        <v>14</v>
      </c>
      <c r="C24" s="63">
        <v>-1</v>
      </c>
      <c r="E24" s="34">
        <f t="shared" si="0"/>
        <v>13</v>
      </c>
      <c r="F24" s="18">
        <f t="shared" si="3"/>
        <v>1.7944944909019129E-3</v>
      </c>
      <c r="G24" s="32" t="str">
        <f t="shared" si="1"/>
        <v>Yes</v>
      </c>
      <c r="H24" s="32" t="str">
        <f t="shared" si="2"/>
        <v xml:space="preserve"> </v>
      </c>
    </row>
    <row r="25" spans="1:8" ht="15" x14ac:dyDescent="0.25">
      <c r="A25" s="101" t="s">
        <v>207</v>
      </c>
      <c r="B25" s="102">
        <v>594</v>
      </c>
      <c r="C25" s="63">
        <v>-37</v>
      </c>
      <c r="E25" s="34">
        <f t="shared" si="0"/>
        <v>557</v>
      </c>
      <c r="F25" s="18">
        <f t="shared" si="3"/>
        <v>7.6887187033258877E-2</v>
      </c>
      <c r="G25" s="32" t="str">
        <f t="shared" si="1"/>
        <v>Yes</v>
      </c>
      <c r="H25" s="32" t="str">
        <f t="shared" si="2"/>
        <v xml:space="preserve"> </v>
      </c>
    </row>
    <row r="26" spans="1:8" ht="15" x14ac:dyDescent="0.25">
      <c r="A26" s="101" t="s">
        <v>208</v>
      </c>
      <c r="B26" s="102">
        <v>3</v>
      </c>
      <c r="C26" s="63"/>
      <c r="E26" s="34">
        <f t="shared" si="0"/>
        <v>3</v>
      </c>
      <c r="F26" s="18">
        <f t="shared" si="3"/>
        <v>4.1411411328505683E-4</v>
      </c>
      <c r="G26" s="32" t="str">
        <f t="shared" si="1"/>
        <v>Yes</v>
      </c>
      <c r="H26" s="32" t="str">
        <f t="shared" si="2"/>
        <v xml:space="preserve"> </v>
      </c>
    </row>
    <row r="27" spans="1:8" ht="15" x14ac:dyDescent="0.25">
      <c r="A27" s="101" t="s">
        <v>209</v>
      </c>
      <c r="B27" s="102">
        <v>631</v>
      </c>
      <c r="C27" s="63">
        <v>-45</v>
      </c>
      <c r="E27" s="34">
        <f t="shared" si="0"/>
        <v>586</v>
      </c>
      <c r="F27" s="18">
        <f t="shared" si="3"/>
        <v>8.0890290128347767E-2</v>
      </c>
      <c r="G27" s="32" t="str">
        <f t="shared" si="1"/>
        <v>Yes</v>
      </c>
      <c r="H27" s="32" t="str">
        <f t="shared" si="2"/>
        <v xml:space="preserve"> </v>
      </c>
    </row>
    <row r="28" spans="1:8" ht="15" x14ac:dyDescent="0.25">
      <c r="A28" s="101" t="s">
        <v>210</v>
      </c>
      <c r="B28" s="102">
        <v>100</v>
      </c>
      <c r="C28" s="63">
        <v>-55</v>
      </c>
      <c r="E28" s="34">
        <f t="shared" si="0"/>
        <v>45</v>
      </c>
      <c r="F28" s="18">
        <f t="shared" si="3"/>
        <v>6.2117116992758525E-3</v>
      </c>
      <c r="G28" s="32" t="str">
        <f t="shared" si="1"/>
        <v>Yes</v>
      </c>
      <c r="H28" s="32" t="str">
        <f t="shared" si="2"/>
        <v xml:space="preserve"> </v>
      </c>
    </row>
    <row r="29" spans="1:8" ht="15" x14ac:dyDescent="0.25">
      <c r="A29" s="101" t="s">
        <v>211</v>
      </c>
      <c r="B29" s="102">
        <v>97</v>
      </c>
      <c r="C29" s="63">
        <v>-89</v>
      </c>
      <c r="E29" s="34">
        <f t="shared" si="0"/>
        <v>8</v>
      </c>
      <c r="F29" s="18">
        <f t="shared" si="3"/>
        <v>1.104304302093485E-3</v>
      </c>
      <c r="G29" s="32" t="str">
        <f t="shared" si="1"/>
        <v>Yes</v>
      </c>
      <c r="H29" s="32" t="str">
        <f t="shared" si="2"/>
        <v xml:space="preserve"> </v>
      </c>
    </row>
    <row r="30" spans="1:8" ht="15" x14ac:dyDescent="0.25">
      <c r="A30" s="101" t="s">
        <v>212</v>
      </c>
      <c r="B30" s="102">
        <v>28</v>
      </c>
      <c r="C30" s="63"/>
      <c r="E30" s="34">
        <f t="shared" si="0"/>
        <v>28</v>
      </c>
      <c r="F30" s="18">
        <f t="shared" si="3"/>
        <v>3.8650650573271972E-3</v>
      </c>
      <c r="G30" s="32" t="str">
        <f t="shared" si="1"/>
        <v>Yes</v>
      </c>
      <c r="H30" s="32" t="str">
        <f t="shared" si="2"/>
        <v xml:space="preserve"> </v>
      </c>
    </row>
    <row r="31" spans="1:8" ht="15" x14ac:dyDescent="0.25">
      <c r="A31" s="101" t="s">
        <v>213</v>
      </c>
      <c r="B31" s="102">
        <v>2</v>
      </c>
      <c r="C31" s="63"/>
      <c r="E31" s="34">
        <f t="shared" si="0"/>
        <v>2</v>
      </c>
      <c r="F31" s="18">
        <f t="shared" si="3"/>
        <v>2.7607607552337124E-4</v>
      </c>
      <c r="G31" s="32" t="str">
        <f t="shared" si="1"/>
        <v>Yes</v>
      </c>
      <c r="H31" s="32" t="str">
        <f t="shared" si="2"/>
        <v xml:space="preserve"> </v>
      </c>
    </row>
    <row r="32" spans="1:8" ht="15" x14ac:dyDescent="0.25">
      <c r="A32" s="101" t="s">
        <v>214</v>
      </c>
      <c r="B32" s="102">
        <v>4</v>
      </c>
      <c r="C32" s="63">
        <v>-1</v>
      </c>
      <c r="E32" s="34">
        <f t="shared" si="0"/>
        <v>3</v>
      </c>
      <c r="F32" s="18">
        <f t="shared" si="3"/>
        <v>4.1411411328505683E-4</v>
      </c>
      <c r="G32" s="32" t="str">
        <f t="shared" si="1"/>
        <v>Yes</v>
      </c>
      <c r="H32" s="32" t="str">
        <f t="shared" si="2"/>
        <v xml:space="preserve"> </v>
      </c>
    </row>
    <row r="33" spans="1:8" ht="15" x14ac:dyDescent="0.25">
      <c r="A33" s="101" t="s">
        <v>215</v>
      </c>
      <c r="B33" s="102">
        <v>3</v>
      </c>
      <c r="C33" s="63"/>
      <c r="E33" s="34">
        <f t="shared" si="0"/>
        <v>3</v>
      </c>
      <c r="F33" s="18">
        <f t="shared" si="3"/>
        <v>4.1411411328505683E-4</v>
      </c>
      <c r="G33" s="32" t="str">
        <f t="shared" si="1"/>
        <v>Yes</v>
      </c>
      <c r="H33" s="32" t="str">
        <f t="shared" si="2"/>
        <v xml:space="preserve"> </v>
      </c>
    </row>
    <row r="34" spans="1:8" ht="15" x14ac:dyDescent="0.25">
      <c r="A34" s="101" t="s">
        <v>216</v>
      </c>
      <c r="B34" s="102">
        <v>13</v>
      </c>
      <c r="C34" s="63">
        <v>-1</v>
      </c>
      <c r="E34" s="34">
        <f t="shared" si="0"/>
        <v>12</v>
      </c>
      <c r="F34" s="18">
        <f t="shared" si="3"/>
        <v>1.6564564531402273E-3</v>
      </c>
      <c r="G34" s="32" t="str">
        <f t="shared" si="1"/>
        <v>Yes</v>
      </c>
      <c r="H34" s="32" t="str">
        <f t="shared" si="2"/>
        <v>Excludes insurance claim payouts (529721 in subfund 700000 and 521900 in subfund 700001)</v>
      </c>
    </row>
    <row r="35" spans="1:8" ht="15" x14ac:dyDescent="0.25">
      <c r="A35" s="101" t="s">
        <v>217</v>
      </c>
      <c r="B35" s="102">
        <v>39</v>
      </c>
      <c r="C35" s="63">
        <v>-4</v>
      </c>
      <c r="E35" s="34">
        <f t="shared" si="0"/>
        <v>35</v>
      </c>
      <c r="F35" s="18">
        <f t="shared" si="3"/>
        <v>4.8313313216589967E-3</v>
      </c>
      <c r="G35" s="32" t="str">
        <f t="shared" si="1"/>
        <v>Yes</v>
      </c>
      <c r="H35" s="32" t="str">
        <f t="shared" si="2"/>
        <v xml:space="preserve"> </v>
      </c>
    </row>
    <row r="36" spans="1:8" ht="15" x14ac:dyDescent="0.25">
      <c r="A36" s="101" t="s">
        <v>218</v>
      </c>
      <c r="B36" s="102">
        <v>78</v>
      </c>
      <c r="C36" s="63"/>
      <c r="E36" s="34">
        <f t="shared" si="0"/>
        <v>78</v>
      </c>
      <c r="F36" s="18">
        <f t="shared" si="3"/>
        <v>1.0766966945411478E-2</v>
      </c>
      <c r="G36" s="32" t="str">
        <f t="shared" si="1"/>
        <v>Yes</v>
      </c>
      <c r="H36" s="32" t="str">
        <f t="shared" si="2"/>
        <v xml:space="preserve"> </v>
      </c>
    </row>
    <row r="37" spans="1:8" ht="15" x14ac:dyDescent="0.25">
      <c r="A37" s="101" t="s">
        <v>219</v>
      </c>
      <c r="B37" s="102">
        <v>23</v>
      </c>
      <c r="C37" s="63"/>
      <c r="E37" s="34">
        <f t="shared" si="0"/>
        <v>23</v>
      </c>
      <c r="F37" s="18">
        <f t="shared" si="3"/>
        <v>3.1748748685187689E-3</v>
      </c>
      <c r="G37" s="32" t="str">
        <f t="shared" si="1"/>
        <v>Yes</v>
      </c>
      <c r="H37" s="32" t="str">
        <f t="shared" si="2"/>
        <v xml:space="preserve"> </v>
      </c>
    </row>
    <row r="38" spans="1:8" ht="15" x14ac:dyDescent="0.25">
      <c r="A38" s="101" t="s">
        <v>220</v>
      </c>
      <c r="B38" s="102">
        <v>18</v>
      </c>
      <c r="C38" s="63">
        <v>-2</v>
      </c>
      <c r="E38" s="34">
        <f t="shared" si="0"/>
        <v>16</v>
      </c>
      <c r="F38" s="18">
        <f t="shared" si="3"/>
        <v>2.2086086041869699E-3</v>
      </c>
      <c r="G38" s="32" t="str">
        <f t="shared" si="1"/>
        <v>Yes</v>
      </c>
      <c r="H38" s="32" t="str">
        <f t="shared" si="2"/>
        <v>Excludes risk mgmt claim payouts (529700)</v>
      </c>
    </row>
    <row r="39" spans="1:8" ht="15" x14ac:dyDescent="0.25">
      <c r="A39" s="101" t="s">
        <v>221</v>
      </c>
      <c r="B39" s="102">
        <v>7</v>
      </c>
      <c r="C39" s="63"/>
      <c r="E39" s="34">
        <f t="shared" si="0"/>
        <v>7</v>
      </c>
      <c r="F39" s="18">
        <f t="shared" si="3"/>
        <v>9.6626626433179931E-4</v>
      </c>
      <c r="G39" s="32" t="str">
        <f t="shared" si="1"/>
        <v>Yes</v>
      </c>
      <c r="H39" s="32" t="str">
        <f t="shared" si="2"/>
        <v>Excludes risk mgmt claim payouts (529700)</v>
      </c>
    </row>
    <row r="40" spans="1:8" ht="15" x14ac:dyDescent="0.25">
      <c r="A40" s="101" t="s">
        <v>222</v>
      </c>
      <c r="B40" s="102">
        <v>234</v>
      </c>
      <c r="C40" s="63">
        <v>-7</v>
      </c>
      <c r="E40" s="34">
        <f t="shared" si="0"/>
        <v>227</v>
      </c>
      <c r="F40" s="18">
        <f t="shared" si="3"/>
        <v>3.1334634571902636E-2</v>
      </c>
      <c r="G40" s="32" t="str">
        <f t="shared" si="1"/>
        <v>Yes</v>
      </c>
      <c r="H40" s="32" t="str">
        <f t="shared" si="2"/>
        <v xml:space="preserve"> </v>
      </c>
    </row>
    <row r="41" spans="1:8" ht="15" x14ac:dyDescent="0.25">
      <c r="A41" s="101" t="s">
        <v>223</v>
      </c>
      <c r="B41" s="102">
        <v>19</v>
      </c>
      <c r="C41" s="63"/>
      <c r="E41" s="34">
        <f t="shared" si="0"/>
        <v>19</v>
      </c>
      <c r="F41" s="18">
        <f t="shared" si="3"/>
        <v>2.6227227174720267E-3</v>
      </c>
      <c r="G41" s="32" t="str">
        <f t="shared" si="1"/>
        <v>Yes</v>
      </c>
      <c r="H41" s="14"/>
    </row>
    <row r="42" spans="1:8" ht="15" x14ac:dyDescent="0.25">
      <c r="A42" s="101" t="s">
        <v>224</v>
      </c>
      <c r="B42" s="102">
        <v>21</v>
      </c>
      <c r="C42" s="63">
        <v>-2</v>
      </c>
      <c r="E42" s="34">
        <f t="shared" si="0"/>
        <v>19</v>
      </c>
      <c r="F42" s="18">
        <f t="shared" si="3"/>
        <v>2.6227227174720267E-3</v>
      </c>
      <c r="G42" s="32" t="str">
        <f t="shared" si="1"/>
        <v>Yes</v>
      </c>
      <c r="H42" s="14"/>
    </row>
    <row r="43" spans="1:8" ht="15" x14ac:dyDescent="0.25">
      <c r="A43" s="33"/>
      <c r="F43" s="15">
        <f>SUM(F2:F42)</f>
        <v>1.0000000000000002</v>
      </c>
    </row>
  </sheetData>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83"/>
  <sheetViews>
    <sheetView topLeftCell="A46" workbookViewId="0">
      <selection activeCell="K63" sqref="K63"/>
    </sheetView>
  </sheetViews>
  <sheetFormatPr defaultColWidth="8.7109375" defaultRowHeight="12.75" x14ac:dyDescent="0.2"/>
  <cols>
    <col min="1" max="1" width="11.5703125" style="32" bestFit="1" customWidth="1"/>
    <col min="2" max="3" width="15.28515625" style="34" bestFit="1" customWidth="1"/>
    <col min="4" max="4" width="12.42578125" style="34" bestFit="1" customWidth="1"/>
    <col min="5" max="5" width="12.7109375" style="34" bestFit="1" customWidth="1"/>
    <col min="6" max="6" width="13.28515625" style="34" bestFit="1" customWidth="1"/>
    <col min="7" max="7" width="13.7109375" style="34" bestFit="1" customWidth="1"/>
    <col min="8" max="8" width="13.28515625" style="34" bestFit="1" customWidth="1"/>
    <col min="9" max="9" width="12.42578125" style="32" bestFit="1" customWidth="1"/>
    <col min="10" max="10" width="9.28515625" style="35" bestFit="1" customWidth="1"/>
    <col min="11" max="11" width="6.7109375" style="32" bestFit="1" customWidth="1"/>
    <col min="12" max="12" width="65.7109375" style="32" bestFit="1" customWidth="1"/>
    <col min="13" max="16384" width="8.7109375" style="32"/>
  </cols>
  <sheetData>
    <row r="1" spans="1:12" ht="38.25" x14ac:dyDescent="0.2">
      <c r="A1" s="32" t="s">
        <v>226</v>
      </c>
      <c r="B1" s="23" t="s">
        <v>0</v>
      </c>
      <c r="C1" s="23" t="s">
        <v>1</v>
      </c>
      <c r="D1" s="8" t="s">
        <v>331</v>
      </c>
      <c r="E1" s="7" t="s">
        <v>330</v>
      </c>
      <c r="F1" s="7" t="s">
        <v>332</v>
      </c>
      <c r="G1" s="7" t="s">
        <v>407</v>
      </c>
      <c r="H1" s="7" t="s">
        <v>341</v>
      </c>
      <c r="I1" s="5" t="s">
        <v>334</v>
      </c>
      <c r="J1" s="13" t="s">
        <v>340</v>
      </c>
      <c r="K1" s="5" t="s">
        <v>338</v>
      </c>
      <c r="L1" s="5" t="s">
        <v>343</v>
      </c>
    </row>
    <row r="2" spans="1:12" x14ac:dyDescent="0.2">
      <c r="A2" s="32" t="s">
        <v>161</v>
      </c>
      <c r="B2" s="34">
        <v>9793405</v>
      </c>
      <c r="C2" s="34">
        <v>0</v>
      </c>
      <c r="D2" s="34">
        <f t="shared" ref="D2:D29" si="0">SUM(B2:C2)</f>
        <v>9793405</v>
      </c>
      <c r="E2" s="34">
        <f t="shared" ref="E2:E64" si="1">C2*-0.5</f>
        <v>0</v>
      </c>
      <c r="G2" s="28"/>
      <c r="H2" s="28">
        <f>-D2-E2-F2-G2</f>
        <v>-9793405</v>
      </c>
      <c r="I2" s="9">
        <f t="shared" ref="I2:I64" si="2">IF((VLOOKUP(A2,Crosswalk,2,FALSE)="Excluded"),0,(D2+E2+F2+G2+H2))</f>
        <v>0</v>
      </c>
      <c r="J2" s="40">
        <f>I2/(SUM($I$2:$I$83))</f>
        <v>0</v>
      </c>
      <c r="K2" s="32" t="str">
        <f t="shared" ref="K2:K64" si="3">IF(VLOOKUP(A2,Model,2,FALSE)&lt;&gt;"","Yes","No")</f>
        <v>Yes</v>
      </c>
      <c r="L2" s="32" t="str">
        <f t="shared" ref="L2:L64" si="4">IF((VLOOKUP(A2,Crosswalk,3,FALSE))=0," ",(VLOOKUP(A2,Crosswalk,3,FALSE)))</f>
        <v>100% Overhead</v>
      </c>
    </row>
    <row r="3" spans="1:12" x14ac:dyDescent="0.2">
      <c r="A3" s="32" t="s">
        <v>162</v>
      </c>
      <c r="B3" s="34">
        <v>6877149</v>
      </c>
      <c r="C3" s="34">
        <v>142073</v>
      </c>
      <c r="D3" s="34">
        <f t="shared" si="0"/>
        <v>7019222</v>
      </c>
      <c r="E3" s="34">
        <f t="shared" si="1"/>
        <v>-71036.5</v>
      </c>
      <c r="G3" s="28"/>
      <c r="H3" s="28">
        <f>-D3-E3-F3-G3</f>
        <v>-6948185.5</v>
      </c>
      <c r="I3" s="9">
        <f t="shared" si="2"/>
        <v>0</v>
      </c>
      <c r="J3" s="40">
        <f t="shared" ref="J3:J66" si="5">I3/(SUM($I$2:$I$83))</f>
        <v>0</v>
      </c>
      <c r="K3" s="32" t="str">
        <f t="shared" si="3"/>
        <v>Yes</v>
      </c>
      <c r="L3" s="32" t="str">
        <f t="shared" si="4"/>
        <v>Exclude IPR starting in FY 2017-18 actuals</v>
      </c>
    </row>
    <row r="4" spans="1:12" x14ac:dyDescent="0.2">
      <c r="A4" s="32" t="s">
        <v>342</v>
      </c>
      <c r="B4" s="34">
        <v>1971465</v>
      </c>
      <c r="C4" s="34">
        <v>0</v>
      </c>
      <c r="D4" s="34">
        <f t="shared" si="0"/>
        <v>1971465</v>
      </c>
      <c r="E4" s="34">
        <f t="shared" si="1"/>
        <v>0</v>
      </c>
      <c r="G4" s="28"/>
      <c r="H4" s="28">
        <f>-D4-E4-F4-G4</f>
        <v>-1971465</v>
      </c>
      <c r="I4" s="9">
        <f t="shared" si="2"/>
        <v>0</v>
      </c>
      <c r="J4" s="40">
        <f t="shared" si="5"/>
        <v>0</v>
      </c>
      <c r="K4" s="32" t="str">
        <f t="shared" si="3"/>
        <v>Yes</v>
      </c>
      <c r="L4" s="32" t="str">
        <f t="shared" si="4"/>
        <v>100% Overhead</v>
      </c>
    </row>
    <row r="5" spans="1:12" x14ac:dyDescent="0.2">
      <c r="A5" s="32" t="s">
        <v>164</v>
      </c>
      <c r="B5" s="34">
        <v>1734387</v>
      </c>
      <c r="C5" s="34">
        <v>0</v>
      </c>
      <c r="D5" s="34">
        <f t="shared" si="0"/>
        <v>1734387</v>
      </c>
      <c r="E5" s="34">
        <f t="shared" si="1"/>
        <v>0</v>
      </c>
      <c r="G5" s="28"/>
      <c r="H5" s="28">
        <f>-D5-E5-F5-G5</f>
        <v>-1734387</v>
      </c>
      <c r="I5" s="9">
        <f t="shared" si="2"/>
        <v>0</v>
      </c>
      <c r="J5" s="40">
        <f t="shared" si="5"/>
        <v>0</v>
      </c>
      <c r="K5" s="32" t="str">
        <f t="shared" si="3"/>
        <v>Yes</v>
      </c>
      <c r="L5" s="32" t="str">
        <f t="shared" si="4"/>
        <v>100% Overhead</v>
      </c>
    </row>
    <row r="6" spans="1:12" x14ac:dyDescent="0.2">
      <c r="A6" s="32" t="s">
        <v>165</v>
      </c>
      <c r="B6" s="34">
        <v>104869303</v>
      </c>
      <c r="C6" s="34">
        <v>0</v>
      </c>
      <c r="D6" s="34">
        <f t="shared" si="0"/>
        <v>104869303</v>
      </c>
      <c r="E6" s="34">
        <f t="shared" si="1"/>
        <v>0</v>
      </c>
      <c r="G6" s="28"/>
      <c r="H6" s="28">
        <f>-960-128907</f>
        <v>-129867</v>
      </c>
      <c r="I6" s="9">
        <f>IF((VLOOKUP(A6,Crosswalk,2,FALSE)="Excluded"),0,(D6+E6+F6+G6+H6))</f>
        <v>104739436</v>
      </c>
      <c r="J6" s="40">
        <f t="shared" si="5"/>
        <v>0.10969923739835177</v>
      </c>
      <c r="K6" s="32" t="str">
        <f t="shared" si="3"/>
        <v>Yes</v>
      </c>
      <c r="L6" s="32" t="str">
        <f t="shared" si="4"/>
        <v>Exclude expenditures for emergency mgmt (FREO000004 Fund Center)</v>
      </c>
    </row>
    <row r="7" spans="1:12" x14ac:dyDescent="0.2">
      <c r="A7" s="32" t="s">
        <v>157</v>
      </c>
      <c r="B7" s="34">
        <v>1342894</v>
      </c>
      <c r="C7" s="34">
        <v>0</v>
      </c>
      <c r="D7" s="34">
        <f t="shared" si="0"/>
        <v>1342894</v>
      </c>
      <c r="E7" s="34">
        <f t="shared" si="1"/>
        <v>0</v>
      </c>
      <c r="G7" s="28"/>
      <c r="H7" s="28">
        <f>-D7-E7-F7-G7</f>
        <v>-1342894</v>
      </c>
      <c r="I7" s="9">
        <f t="shared" si="2"/>
        <v>0</v>
      </c>
      <c r="J7" s="40">
        <f t="shared" si="5"/>
        <v>0</v>
      </c>
      <c r="K7" s="32" t="str">
        <f t="shared" si="3"/>
        <v>Yes</v>
      </c>
      <c r="L7" s="32" t="str">
        <f t="shared" si="4"/>
        <v>100% Overhead</v>
      </c>
    </row>
    <row r="8" spans="1:12" x14ac:dyDescent="0.2">
      <c r="A8" s="32" t="s">
        <v>166</v>
      </c>
      <c r="B8" s="34">
        <v>18084154</v>
      </c>
      <c r="C8" s="34">
        <v>0</v>
      </c>
      <c r="D8" s="34">
        <f t="shared" si="0"/>
        <v>18084154</v>
      </c>
      <c r="E8" s="34">
        <f t="shared" si="1"/>
        <v>0</v>
      </c>
      <c r="G8" s="28"/>
      <c r="H8" s="28"/>
      <c r="I8" s="9">
        <f t="shared" si="2"/>
        <v>18084154</v>
      </c>
      <c r="J8" s="40">
        <f t="shared" si="5"/>
        <v>1.8940505873970458E-2</v>
      </c>
      <c r="K8" s="32" t="str">
        <f t="shared" si="3"/>
        <v>Yes</v>
      </c>
      <c r="L8" s="32" t="str">
        <f t="shared" si="4"/>
        <v xml:space="preserve"> </v>
      </c>
    </row>
    <row r="9" spans="1:12" x14ac:dyDescent="0.2">
      <c r="A9" s="32" t="s">
        <v>159</v>
      </c>
      <c r="B9" s="28">
        <v>31675270</v>
      </c>
      <c r="C9" s="28">
        <v>579401</v>
      </c>
      <c r="D9" s="34">
        <f t="shared" si="0"/>
        <v>32254671</v>
      </c>
      <c r="E9" s="34">
        <f t="shared" si="1"/>
        <v>-289700.5</v>
      </c>
      <c r="G9" s="28">
        <f>27228/2</f>
        <v>13614</v>
      </c>
      <c r="H9" s="28">
        <v>-21795614</v>
      </c>
      <c r="I9" s="9">
        <f t="shared" si="2"/>
        <v>10182970.5</v>
      </c>
      <c r="J9" s="40">
        <f t="shared" si="5"/>
        <v>1.0665171982594148E-2</v>
      </c>
      <c r="K9" s="32" t="str">
        <f t="shared" si="3"/>
        <v>Yes</v>
      </c>
      <c r="L9" s="32" t="str">
        <f t="shared" si="4"/>
        <v>Exclude MFHR, MFDR, MFPU, MFOP, and MFFS cost centers. Beginning FY 18-19 need to also adjust for MFRB000002 functional area LACROPBAAR (accounts receiveable)</v>
      </c>
    </row>
    <row r="10" spans="1:12" x14ac:dyDescent="0.2">
      <c r="A10" s="32" t="s">
        <v>163</v>
      </c>
      <c r="B10" s="28">
        <v>2690567</v>
      </c>
      <c r="C10" s="28">
        <v>0</v>
      </c>
      <c r="D10" s="34">
        <f t="shared" si="0"/>
        <v>2690567</v>
      </c>
      <c r="E10" s="34">
        <f t="shared" si="1"/>
        <v>0</v>
      </c>
      <c r="G10" s="28"/>
      <c r="H10" s="28">
        <v>-2690567</v>
      </c>
      <c r="I10" s="9">
        <f t="shared" si="2"/>
        <v>0</v>
      </c>
      <c r="J10" s="40">
        <f t="shared" si="5"/>
        <v>0</v>
      </c>
      <c r="K10" s="32" t="str">
        <f t="shared" si="3"/>
        <v>Yes</v>
      </c>
      <c r="L10" s="32" t="str">
        <f t="shared" si="4"/>
        <v>Exclude expenditures for Admin &amp; Support (LAMYAS Functional Area), include only OYVP for positions</v>
      </c>
    </row>
    <row r="11" spans="1:12" x14ac:dyDescent="0.2">
      <c r="A11" s="32" t="s">
        <v>160</v>
      </c>
      <c r="B11" s="28">
        <v>8386703</v>
      </c>
      <c r="C11" s="34">
        <v>0</v>
      </c>
      <c r="D11" s="34">
        <f t="shared" si="0"/>
        <v>8386703</v>
      </c>
      <c r="E11" s="34">
        <f t="shared" si="1"/>
        <v>0</v>
      </c>
      <c r="G11" s="28"/>
      <c r="H11" s="28">
        <v>-596903</v>
      </c>
      <c r="I11" s="9">
        <f t="shared" si="2"/>
        <v>7789800</v>
      </c>
      <c r="J11" s="40">
        <f t="shared" si="5"/>
        <v>8.1586759688650669E-3</v>
      </c>
      <c r="K11" s="32" t="str">
        <f t="shared" si="3"/>
        <v>Yes</v>
      </c>
      <c r="L11" s="32" t="str">
        <f t="shared" si="4"/>
        <v>Exclude expenditures for Information &amp; Referral and Public Involvement best practices (CDIR - Info &amp; Rfrrl org unit for positions, CDNRNOPI - no positions)</v>
      </c>
    </row>
    <row r="12" spans="1:12" x14ac:dyDescent="0.2">
      <c r="A12" s="32" t="s">
        <v>316</v>
      </c>
      <c r="B12" s="34">
        <v>1700844</v>
      </c>
      <c r="C12" s="34">
        <v>0</v>
      </c>
      <c r="D12" s="34">
        <f t="shared" si="0"/>
        <v>1700844</v>
      </c>
      <c r="E12" s="34">
        <f t="shared" si="1"/>
        <v>0</v>
      </c>
      <c r="G12" s="90"/>
      <c r="H12" s="28">
        <f>-657625-265823-89018</f>
        <v>-1012466</v>
      </c>
      <c r="I12" s="9">
        <f t="shared" si="2"/>
        <v>688378</v>
      </c>
      <c r="J12" s="40">
        <f t="shared" si="5"/>
        <v>7.2097525560289053E-4</v>
      </c>
      <c r="K12" s="32" t="str">
        <f t="shared" si="3"/>
        <v>Yes</v>
      </c>
      <c r="L12" s="32" t="str">
        <f t="shared" si="4"/>
        <v>Exclude expenditures for Citywide Equity, Civil Rights, and % admin (CDCE, CDCR &amp; portion CDAS) - use base budget for position allocations</v>
      </c>
    </row>
    <row r="13" spans="1:12" x14ac:dyDescent="0.2">
      <c r="A13" s="32" t="s">
        <v>152</v>
      </c>
      <c r="B13" s="34">
        <v>1554995</v>
      </c>
      <c r="C13" s="34">
        <v>0</v>
      </c>
      <c r="D13" s="34">
        <f t="shared" si="0"/>
        <v>1554995</v>
      </c>
      <c r="E13" s="34">
        <f t="shared" si="1"/>
        <v>0</v>
      </c>
      <c r="G13" s="28"/>
      <c r="H13" s="28">
        <v>-845479</v>
      </c>
      <c r="I13" s="9">
        <f t="shared" si="2"/>
        <v>709516</v>
      </c>
      <c r="J13" s="40">
        <f t="shared" si="5"/>
        <v>7.4311421842990406E-4</v>
      </c>
      <c r="K13" s="32" t="str">
        <f t="shared" si="3"/>
        <v>Yes</v>
      </c>
      <c r="L13" s="32" t="str">
        <f t="shared" si="4"/>
        <v>Exclude Commissioner's Office (PACO000001)</v>
      </c>
    </row>
    <row r="14" spans="1:12" x14ac:dyDescent="0.2">
      <c r="A14" s="32" t="s">
        <v>167</v>
      </c>
      <c r="B14" s="34">
        <v>69283566</v>
      </c>
      <c r="C14" s="34">
        <v>239920</v>
      </c>
      <c r="D14" s="34">
        <f t="shared" si="0"/>
        <v>69523486</v>
      </c>
      <c r="E14" s="34">
        <f t="shared" si="1"/>
        <v>-119960</v>
      </c>
      <c r="G14" s="28"/>
      <c r="H14" s="28"/>
      <c r="I14" s="9">
        <f t="shared" si="2"/>
        <v>69403526</v>
      </c>
      <c r="J14" s="40">
        <f t="shared" si="5"/>
        <v>7.2690040788043572E-2</v>
      </c>
      <c r="K14" s="32" t="str">
        <f t="shared" si="3"/>
        <v>Yes</v>
      </c>
      <c r="L14" s="32" t="str">
        <f t="shared" si="4"/>
        <v xml:space="preserve"> </v>
      </c>
    </row>
    <row r="15" spans="1:12" x14ac:dyDescent="0.2">
      <c r="A15" s="32" t="s">
        <v>168</v>
      </c>
      <c r="B15" s="34">
        <v>153426598</v>
      </c>
      <c r="C15" s="34">
        <v>0</v>
      </c>
      <c r="D15" s="34">
        <f t="shared" si="0"/>
        <v>153426598</v>
      </c>
      <c r="E15" s="34">
        <f t="shared" si="1"/>
        <v>0</v>
      </c>
      <c r="G15" s="28"/>
      <c r="H15" s="28"/>
      <c r="I15" s="9">
        <f t="shared" si="2"/>
        <v>153426598</v>
      </c>
      <c r="J15" s="40">
        <f t="shared" si="5"/>
        <v>0.16069191739034649</v>
      </c>
      <c r="K15" s="32" t="str">
        <f t="shared" si="3"/>
        <v>Yes</v>
      </c>
      <c r="L15" s="32" t="str">
        <f t="shared" si="4"/>
        <v xml:space="preserve"> </v>
      </c>
    </row>
    <row r="16" spans="1:12" x14ac:dyDescent="0.2">
      <c r="A16" s="32" t="s">
        <v>151</v>
      </c>
      <c r="B16" s="34">
        <v>8819171</v>
      </c>
      <c r="C16" s="34">
        <v>23633</v>
      </c>
      <c r="D16" s="34">
        <f t="shared" si="0"/>
        <v>8842804</v>
      </c>
      <c r="E16" s="34">
        <f t="shared" si="1"/>
        <v>-11816.5</v>
      </c>
      <c r="G16" s="28"/>
      <c r="H16" s="28">
        <f>-(826681*0.5)-1160667</f>
        <v>-1574007.5</v>
      </c>
      <c r="I16" s="9">
        <f t="shared" si="2"/>
        <v>7256980</v>
      </c>
      <c r="J16" s="40">
        <f t="shared" si="5"/>
        <v>7.6006249624553154E-3</v>
      </c>
      <c r="K16" s="32" t="str">
        <f t="shared" si="3"/>
        <v>Yes</v>
      </c>
      <c r="L16" s="32" t="str">
        <f t="shared" si="4"/>
        <v>Exclude expenditures for Comp Planning &amp; 1/2 of district liaisons (CDAPDI - Dist Plan org unit for positions, CDCPCM - use base budget for positions)</v>
      </c>
    </row>
    <row r="17" spans="1:12" x14ac:dyDescent="0.2">
      <c r="A17" s="32" t="s">
        <v>153</v>
      </c>
      <c r="B17" s="34">
        <v>850262</v>
      </c>
      <c r="C17" s="34">
        <v>0</v>
      </c>
      <c r="D17" s="34">
        <f t="shared" si="0"/>
        <v>850262</v>
      </c>
      <c r="E17" s="34">
        <f t="shared" si="1"/>
        <v>0</v>
      </c>
      <c r="G17" s="28"/>
      <c r="H17" s="28">
        <f>-D17-E17-F17-G17</f>
        <v>-850262</v>
      </c>
      <c r="I17" s="9">
        <f t="shared" si="2"/>
        <v>0</v>
      </c>
      <c r="J17" s="40">
        <f t="shared" si="5"/>
        <v>0</v>
      </c>
      <c r="K17" s="32" t="str">
        <f t="shared" si="3"/>
        <v>Yes</v>
      </c>
      <c r="L17" s="32" t="str">
        <f t="shared" si="4"/>
        <v>100% Overhead</v>
      </c>
    </row>
    <row r="18" spans="1:12" x14ac:dyDescent="0.2">
      <c r="A18" s="32" t="s">
        <v>154</v>
      </c>
      <c r="B18" s="34">
        <v>761712</v>
      </c>
      <c r="C18" s="34">
        <v>0</v>
      </c>
      <c r="D18" s="34">
        <f t="shared" si="0"/>
        <v>761712</v>
      </c>
      <c r="E18" s="34">
        <f t="shared" si="1"/>
        <v>0</v>
      </c>
      <c r="G18" s="28"/>
      <c r="H18" s="28">
        <f>-D18-E18-F18-G18</f>
        <v>-761712</v>
      </c>
      <c r="I18" s="9">
        <f t="shared" si="2"/>
        <v>0</v>
      </c>
      <c r="J18" s="40">
        <f t="shared" si="5"/>
        <v>0</v>
      </c>
      <c r="K18" s="32" t="str">
        <f t="shared" si="3"/>
        <v>Yes</v>
      </c>
      <c r="L18" s="32" t="str">
        <f t="shared" si="4"/>
        <v>100% Overhead</v>
      </c>
    </row>
    <row r="19" spans="1:12" x14ac:dyDescent="0.2">
      <c r="A19" s="32" t="s">
        <v>155</v>
      </c>
      <c r="B19" s="34">
        <v>795009</v>
      </c>
      <c r="C19" s="34">
        <v>0</v>
      </c>
      <c r="D19" s="34">
        <f t="shared" si="0"/>
        <v>795009</v>
      </c>
      <c r="E19" s="34">
        <f t="shared" si="1"/>
        <v>0</v>
      </c>
      <c r="G19" s="28"/>
      <c r="H19" s="28">
        <f>-D19-E19-F19-G19</f>
        <v>-795009</v>
      </c>
      <c r="I19" s="9">
        <f t="shared" si="2"/>
        <v>0</v>
      </c>
      <c r="J19" s="40">
        <f t="shared" si="5"/>
        <v>0</v>
      </c>
      <c r="K19" s="32" t="str">
        <f t="shared" si="3"/>
        <v>Yes</v>
      </c>
      <c r="L19" s="32" t="str">
        <f t="shared" si="4"/>
        <v>100% Overhead</v>
      </c>
    </row>
    <row r="20" spans="1:12" x14ac:dyDescent="0.2">
      <c r="A20" s="32" t="s">
        <v>169</v>
      </c>
      <c r="B20" s="28">
        <v>9564879</v>
      </c>
      <c r="C20" s="34">
        <v>0</v>
      </c>
      <c r="D20" s="34">
        <f t="shared" si="0"/>
        <v>9564879</v>
      </c>
      <c r="E20" s="34">
        <f t="shared" si="1"/>
        <v>0</v>
      </c>
      <c r="G20" s="28"/>
      <c r="H20" s="28">
        <v>-225073</v>
      </c>
      <c r="I20" s="9">
        <f t="shared" si="2"/>
        <v>9339806</v>
      </c>
      <c r="J20" s="40">
        <f t="shared" si="5"/>
        <v>9.782080511189218E-3</v>
      </c>
      <c r="K20" s="32" t="str">
        <f t="shared" si="3"/>
        <v>Yes</v>
      </c>
      <c r="L20" s="32" t="str">
        <f t="shared" si="4"/>
        <v>Exclude expenditures for City memberships and dues (MFSA000002)</v>
      </c>
    </row>
    <row r="21" spans="1:12" x14ac:dyDescent="0.2">
      <c r="A21" s="32" t="s">
        <v>318</v>
      </c>
      <c r="B21" s="34">
        <v>6975474</v>
      </c>
      <c r="C21" s="34">
        <v>0</v>
      </c>
      <c r="D21" s="34">
        <f t="shared" si="0"/>
        <v>6975474</v>
      </c>
      <c r="E21" s="34">
        <f t="shared" si="1"/>
        <v>0</v>
      </c>
      <c r="G21" s="28"/>
      <c r="H21" s="28"/>
      <c r="I21" s="9">
        <f t="shared" si="2"/>
        <v>6975474</v>
      </c>
      <c r="J21" s="40">
        <f t="shared" si="5"/>
        <v>7.305788607569268E-3</v>
      </c>
      <c r="K21" s="32" t="str">
        <f t="shared" si="3"/>
        <v>Yes</v>
      </c>
      <c r="L21" s="32" t="str">
        <f t="shared" si="4"/>
        <v xml:space="preserve"> </v>
      </c>
    </row>
    <row r="22" spans="1:12" x14ac:dyDescent="0.2">
      <c r="A22" s="32" t="s">
        <v>170</v>
      </c>
      <c r="B22" s="34">
        <v>109282646</v>
      </c>
      <c r="C22" s="34">
        <v>19837921</v>
      </c>
      <c r="D22" s="34">
        <f t="shared" si="0"/>
        <v>129120567</v>
      </c>
      <c r="E22" s="34">
        <f t="shared" si="1"/>
        <v>-9918960.5</v>
      </c>
      <c r="G22" s="28"/>
      <c r="H22" s="28"/>
      <c r="I22" s="9">
        <f t="shared" si="2"/>
        <v>119201606.5</v>
      </c>
      <c r="J22" s="40">
        <f t="shared" si="5"/>
        <v>0.12484624539804103</v>
      </c>
      <c r="K22" s="32" t="str">
        <f t="shared" si="3"/>
        <v>Yes</v>
      </c>
      <c r="L22" s="32" t="str">
        <f t="shared" si="4"/>
        <v xml:space="preserve"> </v>
      </c>
    </row>
    <row r="23" spans="1:12" x14ac:dyDescent="0.2">
      <c r="A23" s="32" t="s">
        <v>171</v>
      </c>
      <c r="B23" s="34">
        <v>15746158</v>
      </c>
      <c r="C23" s="34">
        <v>805805</v>
      </c>
      <c r="D23" s="34">
        <f t="shared" si="0"/>
        <v>16551963</v>
      </c>
      <c r="E23" s="34">
        <f t="shared" si="1"/>
        <v>-402902.5</v>
      </c>
      <c r="F23" s="28"/>
      <c r="G23" s="28"/>
      <c r="H23" s="28"/>
      <c r="I23" s="9">
        <f t="shared" si="2"/>
        <v>16149060.5</v>
      </c>
      <c r="J23" s="40">
        <f t="shared" si="5"/>
        <v>1.6913778507933207E-2</v>
      </c>
      <c r="K23" s="32" t="str">
        <f t="shared" si="3"/>
        <v>Yes</v>
      </c>
      <c r="L23" s="32" t="str">
        <f t="shared" si="4"/>
        <v xml:space="preserve"> </v>
      </c>
    </row>
    <row r="24" spans="1:12" x14ac:dyDescent="0.2">
      <c r="A24" s="32" t="s">
        <v>173</v>
      </c>
      <c r="B24" s="34">
        <v>35012548</v>
      </c>
      <c r="C24" s="34">
        <v>2384725</v>
      </c>
      <c r="D24" s="34">
        <f t="shared" si="0"/>
        <v>37397273</v>
      </c>
      <c r="E24" s="34">
        <f t="shared" si="1"/>
        <v>-1192362.5</v>
      </c>
      <c r="G24" s="28"/>
      <c r="H24" s="28"/>
      <c r="I24" s="9">
        <f t="shared" si="2"/>
        <v>36204910.5</v>
      </c>
      <c r="J24" s="40">
        <f t="shared" si="5"/>
        <v>3.7919347512293068E-2</v>
      </c>
      <c r="K24" s="32" t="str">
        <f t="shared" si="3"/>
        <v>Yes</v>
      </c>
      <c r="L24" s="32" t="str">
        <f t="shared" si="4"/>
        <v xml:space="preserve"> </v>
      </c>
    </row>
    <row r="25" spans="1:12" x14ac:dyDescent="0.2">
      <c r="A25" s="32" t="s">
        <v>174</v>
      </c>
      <c r="B25" s="34">
        <v>5121937</v>
      </c>
      <c r="C25" s="34">
        <v>0</v>
      </c>
      <c r="D25" s="34">
        <f t="shared" si="0"/>
        <v>5121937</v>
      </c>
      <c r="E25" s="34">
        <f t="shared" si="1"/>
        <v>0</v>
      </c>
      <c r="G25" s="28">
        <v>-5121937</v>
      </c>
      <c r="H25" s="28"/>
      <c r="I25" s="9">
        <f t="shared" si="2"/>
        <v>0</v>
      </c>
      <c r="J25" s="40">
        <f t="shared" si="5"/>
        <v>0</v>
      </c>
      <c r="K25" s="32" t="str">
        <f t="shared" si="3"/>
        <v>Yes</v>
      </c>
      <c r="L25" s="32" t="str">
        <f t="shared" si="4"/>
        <v>Fixed at $25,000 (hardcoded in Model)</v>
      </c>
    </row>
    <row r="26" spans="1:12" x14ac:dyDescent="0.2">
      <c r="A26" s="32" t="s">
        <v>176</v>
      </c>
      <c r="B26" s="34">
        <v>17187417</v>
      </c>
      <c r="C26" s="34">
        <v>0</v>
      </c>
      <c r="D26" s="34">
        <f t="shared" si="0"/>
        <v>17187417</v>
      </c>
      <c r="E26" s="34">
        <f t="shared" si="1"/>
        <v>0</v>
      </c>
      <c r="F26" s="28"/>
      <c r="G26" s="28">
        <v>-17187417</v>
      </c>
      <c r="H26" s="28"/>
      <c r="I26" s="9">
        <f t="shared" si="2"/>
        <v>0</v>
      </c>
      <c r="J26" s="40">
        <f t="shared" si="5"/>
        <v>0</v>
      </c>
      <c r="K26" s="32" t="str">
        <f t="shared" si="3"/>
        <v>Yes</v>
      </c>
      <c r="L26" s="32" t="str">
        <f t="shared" si="4"/>
        <v>Fixed at $25,000 (hardcoded in Model)</v>
      </c>
    </row>
    <row r="27" spans="1:12" x14ac:dyDescent="0.2">
      <c r="A27" s="32" t="s">
        <v>177</v>
      </c>
      <c r="B27" s="34">
        <v>89084138</v>
      </c>
      <c r="C27" s="34">
        <v>0</v>
      </c>
      <c r="D27" s="34">
        <f t="shared" si="0"/>
        <v>89084138</v>
      </c>
      <c r="E27" s="34">
        <f t="shared" si="1"/>
        <v>0</v>
      </c>
      <c r="F27" s="28"/>
      <c r="G27" s="28"/>
      <c r="H27" s="28"/>
      <c r="I27" s="9">
        <f t="shared" si="2"/>
        <v>0</v>
      </c>
      <c r="J27" s="40">
        <f t="shared" si="5"/>
        <v>0</v>
      </c>
      <c r="K27" s="32" t="str">
        <f t="shared" si="3"/>
        <v>Yes</v>
      </c>
      <c r="L27" s="32" t="str">
        <f t="shared" si="4"/>
        <v xml:space="preserve"> </v>
      </c>
    </row>
    <row r="28" spans="1:12" x14ac:dyDescent="0.2">
      <c r="A28" s="32" t="s">
        <v>178</v>
      </c>
      <c r="B28" s="34">
        <v>2251827</v>
      </c>
      <c r="C28" s="34">
        <v>0</v>
      </c>
      <c r="D28" s="34">
        <f t="shared" si="0"/>
        <v>2251827</v>
      </c>
      <c r="E28" s="34">
        <f t="shared" si="1"/>
        <v>0</v>
      </c>
      <c r="F28" s="28"/>
      <c r="G28" s="28">
        <f>-16860*0.5</f>
        <v>-8430</v>
      </c>
      <c r="H28" s="28"/>
      <c r="I28" s="9">
        <f t="shared" si="2"/>
        <v>2243397</v>
      </c>
      <c r="J28" s="40">
        <f t="shared" si="5"/>
        <v>2.3496301821001801E-3</v>
      </c>
      <c r="K28" s="32" t="str">
        <f t="shared" si="3"/>
        <v>Yes</v>
      </c>
      <c r="L28" s="32" t="str">
        <f t="shared" si="4"/>
        <v>50% discount for operating projects</v>
      </c>
    </row>
    <row r="29" spans="1:12" x14ac:dyDescent="0.2">
      <c r="A29" s="32" t="s">
        <v>181</v>
      </c>
      <c r="B29" s="34">
        <v>14845072</v>
      </c>
      <c r="C29" s="34">
        <v>0</v>
      </c>
      <c r="D29" s="34">
        <f t="shared" si="0"/>
        <v>14845072</v>
      </c>
      <c r="E29" s="34">
        <f t="shared" si="1"/>
        <v>0</v>
      </c>
      <c r="G29" s="28">
        <v>-14845072</v>
      </c>
      <c r="H29" s="28"/>
      <c r="I29" s="9">
        <f t="shared" si="2"/>
        <v>0</v>
      </c>
      <c r="J29" s="40">
        <f t="shared" si="5"/>
        <v>0</v>
      </c>
      <c r="K29" s="32" t="str">
        <f t="shared" si="3"/>
        <v>Yes</v>
      </c>
      <c r="L29" s="32" t="str">
        <f t="shared" si="4"/>
        <v>Fixed at $25,000 (hardcoded in Model)</v>
      </c>
    </row>
    <row r="30" spans="1:12" x14ac:dyDescent="0.2">
      <c r="A30" s="32" t="s">
        <v>319</v>
      </c>
      <c r="B30" s="34">
        <v>3768</v>
      </c>
      <c r="C30" s="34">
        <v>0</v>
      </c>
      <c r="D30" s="34">
        <f t="shared" ref="D30:D62" si="6">SUM(B30:C30)</f>
        <v>3768</v>
      </c>
      <c r="E30" s="34">
        <f t="shared" si="1"/>
        <v>0</v>
      </c>
      <c r="G30" s="28"/>
      <c r="H30" s="28"/>
      <c r="I30" s="9">
        <f t="shared" si="2"/>
        <v>3768</v>
      </c>
      <c r="J30" s="40">
        <f t="shared" si="5"/>
        <v>3.9464287980029745E-6</v>
      </c>
      <c r="K30" s="32" t="str">
        <f t="shared" si="3"/>
        <v>Yes</v>
      </c>
      <c r="L30" s="32" t="str">
        <f t="shared" si="4"/>
        <v xml:space="preserve"> </v>
      </c>
    </row>
    <row r="31" spans="1:12" x14ac:dyDescent="0.2">
      <c r="A31" s="32" t="s">
        <v>182</v>
      </c>
      <c r="B31" s="34">
        <v>0</v>
      </c>
      <c r="C31" s="34">
        <v>0</v>
      </c>
      <c r="D31" s="34">
        <f t="shared" si="6"/>
        <v>0</v>
      </c>
      <c r="E31" s="34">
        <f t="shared" si="1"/>
        <v>0</v>
      </c>
      <c r="G31" s="28"/>
      <c r="H31" s="28"/>
      <c r="I31" s="9">
        <f t="shared" si="2"/>
        <v>0</v>
      </c>
      <c r="J31" s="40">
        <f t="shared" si="5"/>
        <v>0</v>
      </c>
      <c r="K31" s="32" t="str">
        <f t="shared" si="3"/>
        <v>Yes</v>
      </c>
      <c r="L31" s="32" t="str">
        <f t="shared" si="4"/>
        <v xml:space="preserve"> </v>
      </c>
    </row>
    <row r="32" spans="1:12" x14ac:dyDescent="0.2">
      <c r="A32" s="32" t="s">
        <v>187</v>
      </c>
      <c r="B32" s="34">
        <v>1142859</v>
      </c>
      <c r="C32" s="34">
        <v>0</v>
      </c>
      <c r="D32" s="34">
        <f t="shared" si="6"/>
        <v>1142859</v>
      </c>
      <c r="E32" s="34">
        <f t="shared" si="1"/>
        <v>0</v>
      </c>
      <c r="G32" s="28"/>
      <c r="H32" s="28"/>
      <c r="I32" s="9">
        <f t="shared" si="2"/>
        <v>1142859</v>
      </c>
      <c r="J32" s="40">
        <f t="shared" si="5"/>
        <v>1.1969776193356905E-3</v>
      </c>
      <c r="K32" s="32" t="str">
        <f t="shared" si="3"/>
        <v>Yes</v>
      </c>
      <c r="L32" s="32" t="str">
        <f t="shared" si="4"/>
        <v xml:space="preserve"> </v>
      </c>
    </row>
    <row r="33" spans="1:12" x14ac:dyDescent="0.2">
      <c r="A33" s="32" t="s">
        <v>183</v>
      </c>
      <c r="B33" s="34">
        <v>244662</v>
      </c>
      <c r="C33" s="34">
        <v>698060</v>
      </c>
      <c r="D33" s="34">
        <f t="shared" si="6"/>
        <v>942722</v>
      </c>
      <c r="E33" s="34">
        <f t="shared" si="1"/>
        <v>-349030</v>
      </c>
      <c r="G33" s="28"/>
      <c r="H33" s="28"/>
      <c r="I33" s="9">
        <f t="shared" si="2"/>
        <v>593692</v>
      </c>
      <c r="J33" s="40">
        <f t="shared" si="5"/>
        <v>6.2180552174734131E-4</v>
      </c>
      <c r="K33" s="32" t="str">
        <f t="shared" si="3"/>
        <v>Yes</v>
      </c>
      <c r="L33" s="32" t="str">
        <f t="shared" si="4"/>
        <v xml:space="preserve"> </v>
      </c>
    </row>
    <row r="34" spans="1:12" x14ac:dyDescent="0.2">
      <c r="A34" s="32" t="s">
        <v>190</v>
      </c>
      <c r="B34" s="34">
        <v>1709314</v>
      </c>
      <c r="C34" s="34">
        <v>0</v>
      </c>
      <c r="D34" s="34">
        <f t="shared" si="6"/>
        <v>1709314</v>
      </c>
      <c r="E34" s="34">
        <f t="shared" si="1"/>
        <v>0</v>
      </c>
      <c r="G34" s="28"/>
      <c r="H34" s="28"/>
      <c r="I34" s="9">
        <f t="shared" si="2"/>
        <v>1709314</v>
      </c>
      <c r="J34" s="40">
        <f t="shared" si="5"/>
        <v>1.7902563679484227E-3</v>
      </c>
      <c r="K34" s="32" t="str">
        <f t="shared" si="3"/>
        <v>Yes</v>
      </c>
      <c r="L34" s="32" t="str">
        <f t="shared" si="4"/>
        <v xml:space="preserve"> </v>
      </c>
    </row>
    <row r="35" spans="1:12" x14ac:dyDescent="0.2">
      <c r="A35" s="32" t="s">
        <v>191</v>
      </c>
      <c r="B35" s="34">
        <v>3443793</v>
      </c>
      <c r="C35" s="34">
        <v>0</v>
      </c>
      <c r="D35" s="34">
        <f t="shared" si="6"/>
        <v>3443793</v>
      </c>
      <c r="E35" s="34">
        <f t="shared" si="1"/>
        <v>0</v>
      </c>
      <c r="G35" s="28"/>
      <c r="H35" s="28"/>
      <c r="I35" s="9">
        <f t="shared" si="2"/>
        <v>3443793</v>
      </c>
      <c r="J35" s="40">
        <f t="shared" si="5"/>
        <v>3.6068693921340387E-3</v>
      </c>
      <c r="K35" s="32" t="str">
        <f t="shared" si="3"/>
        <v>Yes</v>
      </c>
      <c r="L35" s="32" t="str">
        <f t="shared" si="4"/>
        <v xml:space="preserve"> </v>
      </c>
    </row>
    <row r="36" spans="1:12" x14ac:dyDescent="0.2">
      <c r="A36" s="32" t="s">
        <v>323</v>
      </c>
      <c r="B36" s="34">
        <v>0</v>
      </c>
      <c r="C36" s="34">
        <v>0</v>
      </c>
      <c r="D36" s="34">
        <f t="shared" si="6"/>
        <v>0</v>
      </c>
      <c r="E36" s="34">
        <f t="shared" si="1"/>
        <v>0</v>
      </c>
      <c r="G36" s="28"/>
      <c r="H36" s="28"/>
      <c r="I36" s="9">
        <f t="shared" si="2"/>
        <v>0</v>
      </c>
      <c r="J36" s="40">
        <f t="shared" si="5"/>
        <v>0</v>
      </c>
      <c r="K36" s="32" t="str">
        <f t="shared" si="3"/>
        <v>Yes</v>
      </c>
      <c r="L36" s="32" t="str">
        <f t="shared" si="4"/>
        <v xml:space="preserve"> </v>
      </c>
    </row>
    <row r="37" spans="1:12" x14ac:dyDescent="0.2">
      <c r="A37" s="32" t="s">
        <v>321</v>
      </c>
      <c r="B37" s="34">
        <v>50000</v>
      </c>
      <c r="C37" s="34">
        <v>0</v>
      </c>
      <c r="D37" s="34">
        <f t="shared" si="6"/>
        <v>50000</v>
      </c>
      <c r="E37" s="34">
        <f t="shared" si="1"/>
        <v>0</v>
      </c>
      <c r="G37" s="28"/>
      <c r="H37" s="28"/>
      <c r="I37" s="9">
        <f t="shared" si="2"/>
        <v>50000</v>
      </c>
      <c r="J37" s="40">
        <f t="shared" si="5"/>
        <v>5.2367685748447117E-5</v>
      </c>
      <c r="K37" s="32" t="str">
        <f t="shared" si="3"/>
        <v>Yes</v>
      </c>
      <c r="L37" s="32" t="str">
        <f t="shared" si="4"/>
        <v xml:space="preserve"> </v>
      </c>
    </row>
    <row r="38" spans="1:12" x14ac:dyDescent="0.2">
      <c r="A38" s="32" t="s">
        <v>192</v>
      </c>
      <c r="B38" s="34">
        <v>677080</v>
      </c>
      <c r="C38" s="34">
        <v>117901</v>
      </c>
      <c r="D38" s="34">
        <f t="shared" si="6"/>
        <v>794981</v>
      </c>
      <c r="E38" s="34">
        <f t="shared" si="1"/>
        <v>-58950.5</v>
      </c>
      <c r="G38" s="28"/>
      <c r="H38" s="28"/>
      <c r="I38" s="9">
        <f t="shared" si="2"/>
        <v>736030.5</v>
      </c>
      <c r="J38" s="40">
        <f t="shared" si="5"/>
        <v>7.7088427850544809E-4</v>
      </c>
      <c r="K38" s="32" t="str">
        <f t="shared" si="3"/>
        <v>Yes</v>
      </c>
      <c r="L38" s="32" t="str">
        <f t="shared" si="4"/>
        <v xml:space="preserve"> </v>
      </c>
    </row>
    <row r="39" spans="1:12" x14ac:dyDescent="0.2">
      <c r="A39" s="32" t="s">
        <v>193</v>
      </c>
      <c r="B39" s="34">
        <v>1323260</v>
      </c>
      <c r="C39" s="34">
        <v>36594</v>
      </c>
      <c r="D39" s="34">
        <f t="shared" si="6"/>
        <v>1359854</v>
      </c>
      <c r="E39" s="34">
        <f t="shared" si="1"/>
        <v>-18297</v>
      </c>
      <c r="G39" s="28"/>
      <c r="H39" s="28"/>
      <c r="I39" s="9">
        <f t="shared" si="2"/>
        <v>1341557</v>
      </c>
      <c r="J39" s="40">
        <f t="shared" si="5"/>
        <v>1.4050847077925893E-3</v>
      </c>
      <c r="K39" s="32" t="str">
        <f t="shared" si="3"/>
        <v>Yes</v>
      </c>
      <c r="L39" s="32" t="str">
        <f t="shared" si="4"/>
        <v xml:space="preserve"> </v>
      </c>
    </row>
    <row r="40" spans="1:12" x14ac:dyDescent="0.2">
      <c r="A40" s="32" t="s">
        <v>184</v>
      </c>
      <c r="B40" s="34">
        <v>841865</v>
      </c>
      <c r="C40" s="34">
        <v>0</v>
      </c>
      <c r="D40" s="34">
        <f t="shared" si="6"/>
        <v>841865</v>
      </c>
      <c r="E40" s="34">
        <f t="shared" si="1"/>
        <v>0</v>
      </c>
      <c r="G40" s="28"/>
      <c r="H40" s="28"/>
      <c r="I40" s="9">
        <f t="shared" si="2"/>
        <v>841865</v>
      </c>
      <c r="J40" s="40">
        <f t="shared" si="5"/>
        <v>8.8173043525232859E-4</v>
      </c>
      <c r="K40" s="32" t="str">
        <f t="shared" si="3"/>
        <v>Yes</v>
      </c>
      <c r="L40" s="32" t="str">
        <f t="shared" si="4"/>
        <v xml:space="preserve"> </v>
      </c>
    </row>
    <row r="41" spans="1:12" x14ac:dyDescent="0.2">
      <c r="A41" s="32" t="s">
        <v>188</v>
      </c>
      <c r="B41" s="34">
        <v>1213400</v>
      </c>
      <c r="C41" s="34">
        <v>6504393</v>
      </c>
      <c r="D41" s="34">
        <f t="shared" si="6"/>
        <v>7717793</v>
      </c>
      <c r="E41" s="34">
        <f t="shared" si="1"/>
        <v>-3252196.5</v>
      </c>
      <c r="G41" s="28"/>
      <c r="H41" s="28"/>
      <c r="I41" s="9">
        <f t="shared" si="2"/>
        <v>4465596.5</v>
      </c>
      <c r="J41" s="40">
        <f t="shared" si="5"/>
        <v>4.6770590838273061E-3</v>
      </c>
      <c r="K41" s="32" t="str">
        <f t="shared" si="3"/>
        <v>Yes</v>
      </c>
      <c r="L41" s="32" t="str">
        <f t="shared" si="4"/>
        <v xml:space="preserve"> </v>
      </c>
    </row>
    <row r="42" spans="1:12" x14ac:dyDescent="0.2">
      <c r="A42" s="32" t="s">
        <v>194</v>
      </c>
      <c r="B42" s="34">
        <v>20152</v>
      </c>
      <c r="C42" s="34">
        <v>184265</v>
      </c>
      <c r="D42" s="34">
        <f t="shared" si="6"/>
        <v>204417</v>
      </c>
      <c r="E42" s="34">
        <f t="shared" si="1"/>
        <v>-92132.5</v>
      </c>
      <c r="G42" s="28"/>
      <c r="H42" s="28"/>
      <c r="I42" s="9">
        <f t="shared" si="2"/>
        <v>112284.5</v>
      </c>
      <c r="J42" s="40">
        <f t="shared" si="5"/>
        <v>1.1760158820843021E-4</v>
      </c>
      <c r="K42" s="32" t="str">
        <f t="shared" si="3"/>
        <v>Yes</v>
      </c>
      <c r="L42" s="32" t="str">
        <f t="shared" si="4"/>
        <v xml:space="preserve"> </v>
      </c>
    </row>
    <row r="43" spans="1:12" x14ac:dyDescent="0.2">
      <c r="A43" s="32" t="s">
        <v>189</v>
      </c>
      <c r="B43" s="34">
        <v>48221</v>
      </c>
      <c r="C43" s="34">
        <v>0</v>
      </c>
      <c r="D43" s="34">
        <f t="shared" si="6"/>
        <v>48221</v>
      </c>
      <c r="E43" s="34">
        <f t="shared" si="1"/>
        <v>0</v>
      </c>
      <c r="G43" s="28"/>
      <c r="H43" s="28"/>
      <c r="I43" s="9">
        <f t="shared" si="2"/>
        <v>48221</v>
      </c>
      <c r="J43" s="40">
        <f t="shared" si="5"/>
        <v>5.050444348951737E-5</v>
      </c>
      <c r="K43" s="32" t="str">
        <f t="shared" si="3"/>
        <v>Yes</v>
      </c>
      <c r="L43" s="32" t="str">
        <f t="shared" si="4"/>
        <v xml:space="preserve"> </v>
      </c>
    </row>
    <row r="44" spans="1:12" x14ac:dyDescent="0.2">
      <c r="A44" s="32" t="s">
        <v>195</v>
      </c>
      <c r="B44" s="34">
        <v>8692794</v>
      </c>
      <c r="C44" s="34">
        <v>0</v>
      </c>
      <c r="D44" s="34">
        <f t="shared" si="6"/>
        <v>8692794</v>
      </c>
      <c r="E44" s="34">
        <f t="shared" si="1"/>
        <v>0</v>
      </c>
      <c r="G44" s="28"/>
      <c r="H44" s="28"/>
      <c r="I44" s="9">
        <f t="shared" si="2"/>
        <v>8692794</v>
      </c>
      <c r="J44" s="40">
        <f t="shared" si="5"/>
        <v>9.1044300893597316E-3</v>
      </c>
      <c r="K44" s="32" t="str">
        <f t="shared" si="3"/>
        <v>Yes</v>
      </c>
      <c r="L44" s="32" t="str">
        <f t="shared" si="4"/>
        <v xml:space="preserve"> </v>
      </c>
    </row>
    <row r="45" spans="1:12" x14ac:dyDescent="0.2">
      <c r="A45" s="32" t="s">
        <v>196</v>
      </c>
      <c r="B45" s="34">
        <v>5088444</v>
      </c>
      <c r="C45" s="34">
        <v>0</v>
      </c>
      <c r="D45" s="34">
        <f t="shared" si="6"/>
        <v>5088444</v>
      </c>
      <c r="E45" s="34">
        <f t="shared" si="1"/>
        <v>0</v>
      </c>
      <c r="G45" s="28"/>
      <c r="H45" s="28"/>
      <c r="I45" s="9">
        <f t="shared" si="2"/>
        <v>5088444</v>
      </c>
      <c r="J45" s="40">
        <f t="shared" si="5"/>
        <v>5.329400726811425E-3</v>
      </c>
      <c r="K45" s="32" t="str">
        <f t="shared" si="3"/>
        <v>Yes</v>
      </c>
      <c r="L45" s="32" t="str">
        <f t="shared" si="4"/>
        <v xml:space="preserve"> </v>
      </c>
    </row>
    <row r="46" spans="1:12" x14ac:dyDescent="0.2">
      <c r="A46" s="32" t="s">
        <v>197</v>
      </c>
      <c r="B46" s="34">
        <v>1090168</v>
      </c>
      <c r="C46" s="34">
        <v>0</v>
      </c>
      <c r="D46" s="34">
        <f t="shared" si="6"/>
        <v>1090168</v>
      </c>
      <c r="E46" s="34">
        <f t="shared" si="1"/>
        <v>0</v>
      </c>
      <c r="G46" s="28"/>
      <c r="H46" s="28"/>
      <c r="I46" s="9">
        <f>IF((VLOOKUP(A46,Crosswalk,2,FALSE)="Excluded"),0,(D46+E46+F46+G46+H46))</f>
        <v>0</v>
      </c>
      <c r="J46" s="40">
        <f t="shared" si="5"/>
        <v>0</v>
      </c>
      <c r="K46" s="32" t="str">
        <f t="shared" si="3"/>
        <v>Yes</v>
      </c>
      <c r="L46" s="32" t="str">
        <f t="shared" si="4"/>
        <v xml:space="preserve"> </v>
      </c>
    </row>
    <row r="47" spans="1:12" x14ac:dyDescent="0.2">
      <c r="A47" s="32" t="s">
        <v>198</v>
      </c>
      <c r="B47" s="34">
        <v>13918941</v>
      </c>
      <c r="C47" s="34">
        <v>0</v>
      </c>
      <c r="D47" s="34">
        <f t="shared" si="6"/>
        <v>13918941</v>
      </c>
      <c r="E47" s="34">
        <f t="shared" si="1"/>
        <v>0</v>
      </c>
      <c r="G47" s="28">
        <f>-11181202*0.5</f>
        <v>-5590601</v>
      </c>
      <c r="H47" s="28"/>
      <c r="I47" s="9">
        <f t="shared" si="2"/>
        <v>8328340</v>
      </c>
      <c r="J47" s="40">
        <f t="shared" si="5"/>
        <v>8.7227178385244405E-3</v>
      </c>
      <c r="K47" s="32" t="str">
        <f t="shared" si="3"/>
        <v>Yes</v>
      </c>
      <c r="L47" s="32" t="str">
        <f t="shared" si="4"/>
        <v>50% discount for operating projects</v>
      </c>
    </row>
    <row r="48" spans="1:12" x14ac:dyDescent="0.2">
      <c r="A48" s="32" t="s">
        <v>199</v>
      </c>
      <c r="B48" s="34">
        <v>782218</v>
      </c>
      <c r="C48" s="34">
        <v>0</v>
      </c>
      <c r="D48" s="34">
        <f t="shared" si="6"/>
        <v>782218</v>
      </c>
      <c r="E48" s="34">
        <f t="shared" si="1"/>
        <v>0</v>
      </c>
      <c r="G48" s="28"/>
      <c r="H48" s="28"/>
      <c r="I48" s="9">
        <f t="shared" si="2"/>
        <v>0</v>
      </c>
      <c r="J48" s="40">
        <f t="shared" si="5"/>
        <v>0</v>
      </c>
      <c r="K48" s="32" t="str">
        <f t="shared" si="3"/>
        <v>Yes</v>
      </c>
      <c r="L48" s="32" t="str">
        <f t="shared" si="4"/>
        <v xml:space="preserve"> </v>
      </c>
    </row>
    <row r="49" spans="1:12" x14ac:dyDescent="0.2">
      <c r="A49" s="32" t="s">
        <v>410</v>
      </c>
      <c r="B49" s="34">
        <v>9032550</v>
      </c>
      <c r="C49" s="34">
        <v>0</v>
      </c>
      <c r="D49" s="34">
        <f t="shared" si="6"/>
        <v>9032550</v>
      </c>
      <c r="E49" s="34">
        <f t="shared" si="1"/>
        <v>0</v>
      </c>
      <c r="G49" s="28">
        <v>-9032550</v>
      </c>
      <c r="H49" s="28"/>
      <c r="I49" s="9">
        <f t="shared" si="2"/>
        <v>0</v>
      </c>
      <c r="J49" s="40">
        <f t="shared" si="5"/>
        <v>0</v>
      </c>
      <c r="K49" s="32" t="str">
        <f t="shared" si="3"/>
        <v>Yes</v>
      </c>
      <c r="L49" s="32" t="str">
        <f t="shared" si="4"/>
        <v>Fixed at $25,000 (hardcoded in Model)</v>
      </c>
    </row>
    <row r="50" spans="1:12" x14ac:dyDescent="0.2">
      <c r="A50" s="32" t="s">
        <v>424</v>
      </c>
      <c r="B50" s="34">
        <v>0</v>
      </c>
      <c r="C50" s="34">
        <v>0</v>
      </c>
      <c r="D50" s="34">
        <f t="shared" si="6"/>
        <v>0</v>
      </c>
      <c r="E50" s="34">
        <f t="shared" si="1"/>
        <v>0</v>
      </c>
      <c r="G50" s="28"/>
      <c r="H50" s="28"/>
      <c r="I50" s="9">
        <f t="shared" si="2"/>
        <v>0</v>
      </c>
      <c r="J50" s="40">
        <f t="shared" si="5"/>
        <v>0</v>
      </c>
      <c r="K50" s="32" t="str">
        <f t="shared" si="3"/>
        <v>Yes</v>
      </c>
      <c r="L50" s="32" t="str">
        <f t="shared" si="4"/>
        <v xml:space="preserve"> </v>
      </c>
    </row>
    <row r="51" spans="1:12" x14ac:dyDescent="0.2">
      <c r="A51" s="32" t="s">
        <v>425</v>
      </c>
      <c r="B51" s="34">
        <v>20000</v>
      </c>
      <c r="C51" s="34">
        <v>0</v>
      </c>
      <c r="D51" s="34">
        <f t="shared" si="6"/>
        <v>20000</v>
      </c>
      <c r="E51" s="34">
        <f t="shared" si="1"/>
        <v>0</v>
      </c>
      <c r="G51" s="28"/>
      <c r="H51" s="28"/>
      <c r="I51" s="9">
        <f t="shared" si="2"/>
        <v>0</v>
      </c>
      <c r="J51" s="40">
        <f t="shared" si="5"/>
        <v>0</v>
      </c>
      <c r="K51" s="32" t="str">
        <f t="shared" si="3"/>
        <v>Yes</v>
      </c>
      <c r="L51" s="32" t="str">
        <f t="shared" si="4"/>
        <v>Debt Service related expenses</v>
      </c>
    </row>
    <row r="52" spans="1:12" x14ac:dyDescent="0.2">
      <c r="A52" s="32" t="s">
        <v>426</v>
      </c>
      <c r="B52" s="34">
        <v>35000</v>
      </c>
      <c r="C52" s="34">
        <v>0</v>
      </c>
      <c r="D52" s="34">
        <f t="shared" si="6"/>
        <v>35000</v>
      </c>
      <c r="E52" s="34">
        <f t="shared" si="1"/>
        <v>0</v>
      </c>
      <c r="G52" s="28"/>
      <c r="H52" s="28"/>
      <c r="I52" s="89">
        <f t="shared" si="2"/>
        <v>0</v>
      </c>
      <c r="J52" s="40">
        <f t="shared" si="5"/>
        <v>0</v>
      </c>
      <c r="K52" s="32" t="str">
        <f t="shared" si="3"/>
        <v>Yes</v>
      </c>
      <c r="L52" s="32" t="str">
        <f t="shared" si="4"/>
        <v>Debt Service related expenses</v>
      </c>
    </row>
    <row r="53" spans="1:12" x14ac:dyDescent="0.2">
      <c r="A53" s="32" t="s">
        <v>443</v>
      </c>
      <c r="B53" s="34">
        <v>33000</v>
      </c>
      <c r="C53" s="34">
        <v>0</v>
      </c>
      <c r="D53" s="34">
        <f t="shared" si="6"/>
        <v>33000</v>
      </c>
      <c r="E53" s="34">
        <f t="shared" si="1"/>
        <v>0</v>
      </c>
      <c r="G53" s="28"/>
      <c r="H53" s="28"/>
      <c r="I53" s="89">
        <f t="shared" si="2"/>
        <v>0</v>
      </c>
      <c r="J53" s="40">
        <f t="shared" si="5"/>
        <v>0</v>
      </c>
      <c r="K53" s="32" t="str">
        <f t="shared" si="3"/>
        <v>Yes</v>
      </c>
      <c r="L53" s="32" t="str">
        <f t="shared" si="4"/>
        <v>Debt Service related expenses</v>
      </c>
    </row>
    <row r="54" spans="1:12" x14ac:dyDescent="0.2">
      <c r="A54" s="32" t="s">
        <v>427</v>
      </c>
      <c r="B54" s="34">
        <v>21000</v>
      </c>
      <c r="C54" s="34">
        <v>0</v>
      </c>
      <c r="D54" s="34">
        <f t="shared" si="6"/>
        <v>21000</v>
      </c>
      <c r="E54" s="34">
        <f t="shared" si="1"/>
        <v>0</v>
      </c>
      <c r="G54" s="28"/>
      <c r="H54" s="28"/>
      <c r="I54" s="89">
        <f t="shared" si="2"/>
        <v>0</v>
      </c>
      <c r="J54" s="40">
        <f t="shared" si="5"/>
        <v>0</v>
      </c>
      <c r="K54" s="32" t="str">
        <f t="shared" si="3"/>
        <v>Yes</v>
      </c>
      <c r="L54" s="32" t="str">
        <f t="shared" si="4"/>
        <v>Debt Service related expenses</v>
      </c>
    </row>
    <row r="55" spans="1:12" x14ac:dyDescent="0.2">
      <c r="A55" s="32" t="s">
        <v>428</v>
      </c>
      <c r="B55" s="34">
        <v>5900</v>
      </c>
      <c r="C55" s="34">
        <v>0</v>
      </c>
      <c r="D55" s="34">
        <f t="shared" si="6"/>
        <v>5900</v>
      </c>
      <c r="E55" s="34">
        <f t="shared" si="1"/>
        <v>0</v>
      </c>
      <c r="G55" s="28"/>
      <c r="H55" s="28"/>
      <c r="I55" s="89">
        <f t="shared" si="2"/>
        <v>0</v>
      </c>
      <c r="J55" s="40">
        <f t="shared" si="5"/>
        <v>0</v>
      </c>
      <c r="K55" s="32" t="str">
        <f t="shared" si="3"/>
        <v>Yes</v>
      </c>
      <c r="L55" s="32" t="str">
        <f t="shared" si="4"/>
        <v>Debt Service related expenses</v>
      </c>
    </row>
    <row r="56" spans="1:12" x14ac:dyDescent="0.2">
      <c r="A56" s="32" t="s">
        <v>444</v>
      </c>
      <c r="B56" s="34">
        <v>39000</v>
      </c>
      <c r="C56" s="34">
        <v>0</v>
      </c>
      <c r="D56" s="34">
        <f t="shared" si="6"/>
        <v>39000</v>
      </c>
      <c r="E56" s="34">
        <f t="shared" si="1"/>
        <v>0</v>
      </c>
      <c r="G56" s="28"/>
      <c r="H56" s="28"/>
      <c r="I56" s="9">
        <f t="shared" si="2"/>
        <v>0</v>
      </c>
      <c r="J56" s="40">
        <f t="shared" si="5"/>
        <v>0</v>
      </c>
      <c r="K56" s="32" t="str">
        <f t="shared" si="3"/>
        <v>Yes</v>
      </c>
      <c r="L56" s="32" t="str">
        <f t="shared" si="4"/>
        <v>Debt Service related expenses</v>
      </c>
    </row>
    <row r="57" spans="1:12" x14ac:dyDescent="0.2">
      <c r="A57" s="32" t="s">
        <v>461</v>
      </c>
      <c r="B57" s="34">
        <v>79907</v>
      </c>
      <c r="C57" s="34">
        <v>0</v>
      </c>
      <c r="D57" s="34">
        <f t="shared" si="6"/>
        <v>79907</v>
      </c>
      <c r="E57" s="34">
        <f t="shared" si="1"/>
        <v>0</v>
      </c>
      <c r="G57" s="28"/>
      <c r="H57" s="28"/>
      <c r="I57" s="9">
        <f t="shared" si="2"/>
        <v>79907</v>
      </c>
      <c r="J57" s="40">
        <f t="shared" si="5"/>
        <v>8.3690893302023275E-5</v>
      </c>
      <c r="K57" s="32" t="str">
        <f t="shared" si="3"/>
        <v>Yes</v>
      </c>
      <c r="L57" s="32" t="str">
        <f t="shared" si="4"/>
        <v xml:space="preserve"> </v>
      </c>
    </row>
    <row r="58" spans="1:12" x14ac:dyDescent="0.2">
      <c r="A58" s="32" t="s">
        <v>203</v>
      </c>
      <c r="B58" s="34">
        <v>0</v>
      </c>
      <c r="C58" s="34">
        <v>-100</v>
      </c>
      <c r="D58" s="34">
        <f t="shared" si="6"/>
        <v>-100</v>
      </c>
      <c r="E58" s="34">
        <f t="shared" si="1"/>
        <v>50</v>
      </c>
      <c r="G58" s="28"/>
      <c r="H58" s="28"/>
      <c r="I58" s="9">
        <f t="shared" si="2"/>
        <v>-50</v>
      </c>
      <c r="J58" s="40">
        <f t="shared" si="5"/>
        <v>-5.2367685748447118E-8</v>
      </c>
      <c r="K58" s="32" t="str">
        <f t="shared" si="3"/>
        <v>Yes</v>
      </c>
      <c r="L58" s="32" t="str">
        <f t="shared" si="4"/>
        <v xml:space="preserve"> </v>
      </c>
    </row>
    <row r="59" spans="1:12" x14ac:dyDescent="0.2">
      <c r="A59" s="32" t="s">
        <v>204</v>
      </c>
      <c r="B59" s="34">
        <v>1400</v>
      </c>
      <c r="C59" s="34">
        <v>0</v>
      </c>
      <c r="D59" s="34">
        <f t="shared" si="6"/>
        <v>1400</v>
      </c>
      <c r="E59" s="34">
        <f t="shared" si="1"/>
        <v>0</v>
      </c>
      <c r="G59" s="28"/>
      <c r="H59" s="28"/>
      <c r="I59" s="9">
        <f t="shared" si="2"/>
        <v>1400</v>
      </c>
      <c r="J59" s="40">
        <f t="shared" si="5"/>
        <v>1.4662952009565192E-6</v>
      </c>
      <c r="K59" s="32" t="str">
        <f t="shared" si="3"/>
        <v>Yes</v>
      </c>
      <c r="L59" s="32" t="str">
        <f t="shared" si="4"/>
        <v xml:space="preserve"> </v>
      </c>
    </row>
    <row r="60" spans="1:12" x14ac:dyDescent="0.2">
      <c r="A60" s="32" t="s">
        <v>205</v>
      </c>
      <c r="B60" s="34">
        <v>1879488</v>
      </c>
      <c r="C60" s="34">
        <v>12046594</v>
      </c>
      <c r="D60" s="34">
        <f t="shared" si="6"/>
        <v>13926082</v>
      </c>
      <c r="E60" s="34">
        <f t="shared" si="1"/>
        <v>-6023297</v>
      </c>
      <c r="G60" s="28"/>
      <c r="H60" s="28"/>
      <c r="I60" s="9">
        <f t="shared" si="2"/>
        <v>7902785</v>
      </c>
      <c r="J60" s="40">
        <f t="shared" si="5"/>
        <v>8.2770112283508321E-3</v>
      </c>
      <c r="K60" s="32" t="str">
        <f t="shared" si="3"/>
        <v>Yes</v>
      </c>
      <c r="L60" s="32" t="str">
        <f t="shared" si="4"/>
        <v xml:space="preserve"> </v>
      </c>
    </row>
    <row r="61" spans="1:12" x14ac:dyDescent="0.2">
      <c r="A61" s="32" t="s">
        <v>325</v>
      </c>
      <c r="B61" s="34">
        <v>158</v>
      </c>
      <c r="C61" s="34">
        <v>1183722</v>
      </c>
      <c r="D61" s="34">
        <f t="shared" si="6"/>
        <v>1183880</v>
      </c>
      <c r="E61" s="34">
        <f t="shared" si="1"/>
        <v>-591861</v>
      </c>
      <c r="G61" s="28"/>
      <c r="H61" s="28"/>
      <c r="I61" s="9">
        <f t="shared" si="2"/>
        <v>0</v>
      </c>
      <c r="J61" s="40">
        <f t="shared" si="5"/>
        <v>0</v>
      </c>
      <c r="K61" s="32" t="str">
        <f t="shared" si="3"/>
        <v>Yes</v>
      </c>
      <c r="L61" s="32" t="str">
        <f t="shared" si="4"/>
        <v xml:space="preserve"> </v>
      </c>
    </row>
    <row r="62" spans="1:12" x14ac:dyDescent="0.2">
      <c r="A62" s="32" t="s">
        <v>324</v>
      </c>
      <c r="B62" s="34">
        <v>700</v>
      </c>
      <c r="C62" s="34">
        <v>3880472</v>
      </c>
      <c r="D62" s="34">
        <f t="shared" si="6"/>
        <v>3881172</v>
      </c>
      <c r="E62" s="34">
        <f t="shared" si="1"/>
        <v>-1940236</v>
      </c>
      <c r="G62" s="28"/>
      <c r="H62" s="28"/>
      <c r="I62" s="9">
        <f>IF((VLOOKUP(A62,Crosswalk,2,FALSE)="Excluded"),0,(D62+E62+F62+G62+H62))</f>
        <v>0</v>
      </c>
      <c r="J62" s="40">
        <f>I62/(SUM($I$2:$I$83))</f>
        <v>0</v>
      </c>
      <c r="K62" s="32" t="s">
        <v>541</v>
      </c>
      <c r="L62" s="32" t="str">
        <f t="shared" si="4"/>
        <v xml:space="preserve"> </v>
      </c>
    </row>
    <row r="63" spans="1:12" x14ac:dyDescent="0.2">
      <c r="A63" s="32" t="s">
        <v>206</v>
      </c>
      <c r="B63" s="34">
        <v>100</v>
      </c>
      <c r="C63" s="34">
        <v>0</v>
      </c>
      <c r="D63" s="34">
        <f t="shared" ref="D63:D69" si="7">SUM(B63:C63)</f>
        <v>100</v>
      </c>
      <c r="E63" s="34">
        <f t="shared" si="1"/>
        <v>0</v>
      </c>
      <c r="G63" s="28"/>
      <c r="H63" s="28"/>
      <c r="I63" s="9">
        <f t="shared" si="2"/>
        <v>0</v>
      </c>
      <c r="J63" s="40">
        <f t="shared" si="5"/>
        <v>0</v>
      </c>
      <c r="K63" s="32" t="str">
        <f t="shared" si="3"/>
        <v>Yes</v>
      </c>
      <c r="L63" s="32" t="str">
        <f t="shared" si="4"/>
        <v xml:space="preserve"> </v>
      </c>
    </row>
    <row r="64" spans="1:12" x14ac:dyDescent="0.2">
      <c r="A64" s="32" t="s">
        <v>207</v>
      </c>
      <c r="B64" s="34">
        <v>84175550</v>
      </c>
      <c r="C64" s="34">
        <v>78767413</v>
      </c>
      <c r="D64" s="34">
        <f t="shared" si="7"/>
        <v>162942963</v>
      </c>
      <c r="E64" s="34">
        <f t="shared" si="1"/>
        <v>-39383706.5</v>
      </c>
      <c r="G64" s="28"/>
      <c r="H64" s="28"/>
      <c r="I64" s="9">
        <f t="shared" si="2"/>
        <v>123559256.5</v>
      </c>
      <c r="J64" s="40">
        <f t="shared" si="5"/>
        <v>0.12941024631407544</v>
      </c>
      <c r="K64" s="32" t="str">
        <f t="shared" si="3"/>
        <v>Yes</v>
      </c>
      <c r="L64" s="32" t="str">
        <f t="shared" si="4"/>
        <v xml:space="preserve"> </v>
      </c>
    </row>
    <row r="65" spans="1:12" x14ac:dyDescent="0.2">
      <c r="A65" s="32" t="s">
        <v>208</v>
      </c>
      <c r="B65" s="34">
        <v>705581</v>
      </c>
      <c r="C65" s="34">
        <v>462</v>
      </c>
      <c r="D65" s="34">
        <f t="shared" si="7"/>
        <v>706043</v>
      </c>
      <c r="E65" s="34">
        <f t="shared" ref="E65:E78" si="8">C65*-0.5</f>
        <v>-231</v>
      </c>
      <c r="F65" s="28"/>
      <c r="G65" s="28"/>
      <c r="H65" s="28"/>
      <c r="I65" s="9">
        <f t="shared" ref="I65:I78" si="9">IF((VLOOKUP(A65,Crosswalk,2,FALSE)="Excluded"),0,(D65+E65+F65+G65+H65))</f>
        <v>705812</v>
      </c>
      <c r="J65" s="40">
        <f t="shared" si="5"/>
        <v>7.3923482026965913E-4</v>
      </c>
      <c r="K65" s="32" t="str">
        <f t="shared" ref="K65:K78" si="10">IF(VLOOKUP(A65,Model,2,FALSE)&lt;&gt;"","Yes","No")</f>
        <v>Yes</v>
      </c>
      <c r="L65" s="32" t="str">
        <f t="shared" ref="L65:L83" si="11">IF((VLOOKUP(A65,Crosswalk,3,FALSE))=0," ",(VLOOKUP(A65,Crosswalk,3,FALSE)))</f>
        <v xml:space="preserve"> </v>
      </c>
    </row>
    <row r="66" spans="1:12" x14ac:dyDescent="0.2">
      <c r="A66" s="32" t="s">
        <v>209</v>
      </c>
      <c r="B66" s="34">
        <f>63547316+518</f>
        <v>63547834</v>
      </c>
      <c r="C66" s="34">
        <v>52164297</v>
      </c>
      <c r="D66" s="34">
        <f t="shared" si="7"/>
        <v>115712131</v>
      </c>
      <c r="E66" s="34">
        <f t="shared" si="8"/>
        <v>-26082148.5</v>
      </c>
      <c r="F66" s="28"/>
      <c r="G66" s="28"/>
      <c r="H66" s="28"/>
      <c r="I66" s="9">
        <f t="shared" si="9"/>
        <v>89629982.5</v>
      </c>
      <c r="J66" s="40">
        <f t="shared" si="5"/>
        <v>9.3874295143976286E-2</v>
      </c>
      <c r="K66" s="32" t="str">
        <f t="shared" si="10"/>
        <v>Yes</v>
      </c>
      <c r="L66" s="32" t="str">
        <f t="shared" si="11"/>
        <v xml:space="preserve"> </v>
      </c>
    </row>
    <row r="67" spans="1:12" x14ac:dyDescent="0.2">
      <c r="A67" s="32" t="s">
        <v>210</v>
      </c>
      <c r="B67" s="34">
        <v>8103673</v>
      </c>
      <c r="C67" s="34">
        <v>162</v>
      </c>
      <c r="D67" s="34">
        <f t="shared" si="7"/>
        <v>8103835</v>
      </c>
      <c r="E67" s="34">
        <f t="shared" si="8"/>
        <v>-81</v>
      </c>
      <c r="F67" s="28"/>
      <c r="G67" s="28"/>
      <c r="H67" s="28"/>
      <c r="I67" s="9">
        <f t="shared" si="9"/>
        <v>8103754</v>
      </c>
      <c r="J67" s="40">
        <f t="shared" ref="J67:J83" si="12">I67/(SUM($I$2:$I$83))</f>
        <v>8.4874968570944256E-3</v>
      </c>
      <c r="K67" s="32" t="str">
        <f t="shared" si="10"/>
        <v>Yes</v>
      </c>
      <c r="L67" s="32" t="str">
        <f t="shared" si="11"/>
        <v xml:space="preserve"> </v>
      </c>
    </row>
    <row r="68" spans="1:12" x14ac:dyDescent="0.2">
      <c r="A68" s="32" t="s">
        <v>211</v>
      </c>
      <c r="B68" s="34">
        <v>1263912</v>
      </c>
      <c r="C68" s="34">
        <v>0</v>
      </c>
      <c r="D68" s="34">
        <f t="shared" si="7"/>
        <v>1263912</v>
      </c>
      <c r="E68" s="34">
        <f t="shared" si="8"/>
        <v>0</v>
      </c>
      <c r="F68" s="28"/>
      <c r="G68" s="28"/>
      <c r="H68" s="28"/>
      <c r="I68" s="9">
        <f t="shared" si="9"/>
        <v>1263912</v>
      </c>
      <c r="J68" s="40">
        <f t="shared" si="12"/>
        <v>1.3237629285938258E-3</v>
      </c>
      <c r="K68" s="32" t="str">
        <f t="shared" si="10"/>
        <v>Yes</v>
      </c>
      <c r="L68" s="32" t="str">
        <f t="shared" si="11"/>
        <v xml:space="preserve"> </v>
      </c>
    </row>
    <row r="69" spans="1:12" x14ac:dyDescent="0.2">
      <c r="A69" s="32" t="s">
        <v>212</v>
      </c>
      <c r="B69" s="34">
        <f>3515743</f>
        <v>3515743</v>
      </c>
      <c r="C69" s="34">
        <v>0</v>
      </c>
      <c r="D69" s="34">
        <f t="shared" si="7"/>
        <v>3515743</v>
      </c>
      <c r="E69" s="34">
        <f t="shared" si="8"/>
        <v>0</v>
      </c>
      <c r="F69" s="28"/>
      <c r="G69" s="28"/>
      <c r="H69" s="28"/>
      <c r="I69" s="9">
        <f t="shared" si="9"/>
        <v>3515743</v>
      </c>
      <c r="J69" s="40">
        <f t="shared" si="12"/>
        <v>3.682226491926054E-3</v>
      </c>
      <c r="K69" s="32" t="str">
        <f t="shared" si="10"/>
        <v>Yes</v>
      </c>
      <c r="L69" s="32" t="str">
        <f t="shared" si="11"/>
        <v xml:space="preserve"> </v>
      </c>
    </row>
    <row r="70" spans="1:12" x14ac:dyDescent="0.2">
      <c r="A70" s="32" t="s">
        <v>213</v>
      </c>
      <c r="B70" s="34">
        <v>4891964</v>
      </c>
      <c r="C70" s="34">
        <v>22912</v>
      </c>
      <c r="D70" s="34">
        <f t="shared" ref="D70:D74" si="13">SUM(B70:C70)</f>
        <v>4914876</v>
      </c>
      <c r="E70" s="34">
        <f t="shared" si="8"/>
        <v>-11456</v>
      </c>
      <c r="F70" s="28"/>
      <c r="G70" s="28"/>
      <c r="H70" s="28"/>
      <c r="I70" s="89">
        <f t="shared" si="9"/>
        <v>4903420</v>
      </c>
      <c r="J70" s="40">
        <f t="shared" si="12"/>
        <v>5.1356151530530109E-3</v>
      </c>
      <c r="K70" s="32" t="str">
        <f t="shared" si="10"/>
        <v>Yes</v>
      </c>
      <c r="L70" s="32" t="str">
        <f t="shared" si="11"/>
        <v xml:space="preserve"> </v>
      </c>
    </row>
    <row r="71" spans="1:12" x14ac:dyDescent="0.2">
      <c r="A71" s="32" t="s">
        <v>214</v>
      </c>
      <c r="B71" s="34">
        <v>3699634</v>
      </c>
      <c r="C71" s="34">
        <v>0</v>
      </c>
      <c r="D71" s="34">
        <f t="shared" si="13"/>
        <v>3699634</v>
      </c>
      <c r="E71" s="34">
        <f t="shared" si="8"/>
        <v>0</v>
      </c>
      <c r="F71" s="28"/>
      <c r="G71" s="28"/>
      <c r="H71" s="28"/>
      <c r="I71" s="89">
        <f t="shared" si="9"/>
        <v>3699634</v>
      </c>
      <c r="J71" s="40">
        <f t="shared" si="12"/>
        <v>3.874825413925408E-3</v>
      </c>
      <c r="K71" s="32" t="str">
        <f t="shared" si="10"/>
        <v>Yes</v>
      </c>
      <c r="L71" s="32" t="str">
        <f t="shared" si="11"/>
        <v xml:space="preserve"> </v>
      </c>
    </row>
    <row r="72" spans="1:12" x14ac:dyDescent="0.2">
      <c r="A72" s="32" t="s">
        <v>215</v>
      </c>
      <c r="B72" s="34">
        <v>2580632</v>
      </c>
      <c r="C72" s="34">
        <v>19734</v>
      </c>
      <c r="D72" s="34">
        <f t="shared" si="13"/>
        <v>2600366</v>
      </c>
      <c r="E72" s="34">
        <f t="shared" si="8"/>
        <v>-9867</v>
      </c>
      <c r="F72" s="28"/>
      <c r="G72" s="28"/>
      <c r="H72" s="28"/>
      <c r="I72" s="89">
        <f t="shared" si="9"/>
        <v>2590499</v>
      </c>
      <c r="J72" s="40">
        <f t="shared" si="12"/>
        <v>2.7131687512733302E-3</v>
      </c>
      <c r="K72" s="32" t="str">
        <f t="shared" si="10"/>
        <v>Yes</v>
      </c>
      <c r="L72" s="32" t="str">
        <f t="shared" si="11"/>
        <v xml:space="preserve"> </v>
      </c>
    </row>
    <row r="73" spans="1:12" x14ac:dyDescent="0.2">
      <c r="A73" s="32" t="s">
        <v>326</v>
      </c>
      <c r="B73" s="34">
        <v>5450</v>
      </c>
      <c r="C73" s="34">
        <v>0</v>
      </c>
      <c r="D73" s="34">
        <f t="shared" si="13"/>
        <v>5450</v>
      </c>
      <c r="E73" s="34">
        <f t="shared" si="8"/>
        <v>0</v>
      </c>
      <c r="F73" s="28"/>
      <c r="G73" s="28"/>
      <c r="H73" s="28"/>
      <c r="I73" s="89">
        <f t="shared" si="9"/>
        <v>0</v>
      </c>
      <c r="J73" s="40">
        <f t="shared" si="12"/>
        <v>0</v>
      </c>
      <c r="K73" s="32" t="str">
        <f t="shared" si="10"/>
        <v>Yes</v>
      </c>
      <c r="L73" s="32" t="str">
        <f t="shared" si="11"/>
        <v xml:space="preserve"> </v>
      </c>
    </row>
    <row r="74" spans="1:12" x14ac:dyDescent="0.2">
      <c r="A74" s="32" t="s">
        <v>216</v>
      </c>
      <c r="B74" s="34">
        <v>57426507</v>
      </c>
      <c r="C74" s="34">
        <v>0</v>
      </c>
      <c r="D74" s="34">
        <f t="shared" si="13"/>
        <v>57426507</v>
      </c>
      <c r="E74" s="34">
        <f t="shared" si="8"/>
        <v>0</v>
      </c>
      <c r="F74" s="28">
        <v>-50993738</v>
      </c>
      <c r="G74" s="28"/>
      <c r="H74" s="28"/>
      <c r="I74" s="89">
        <f t="shared" si="9"/>
        <v>6432769</v>
      </c>
      <c r="J74" s="40">
        <f t="shared" si="12"/>
        <v>6.7373845096870477E-3</v>
      </c>
      <c r="K74" s="32" t="str">
        <f t="shared" si="10"/>
        <v>Yes</v>
      </c>
      <c r="L74" s="32" t="str">
        <f t="shared" si="11"/>
        <v>Excludes insurance claim payouts (529721 in subfund 700000 and 521900 in subfund 700001)</v>
      </c>
    </row>
    <row r="75" spans="1:12" x14ac:dyDescent="0.2">
      <c r="A75" s="32" t="s">
        <v>217</v>
      </c>
      <c r="B75" s="34">
        <v>18529462</v>
      </c>
      <c r="C75" s="34">
        <v>1810787</v>
      </c>
      <c r="D75" s="34">
        <f t="shared" ref="D75:D78" si="14">SUM(B75:C75)</f>
        <v>20340249</v>
      </c>
      <c r="E75" s="34">
        <f t="shared" si="8"/>
        <v>-905393.5</v>
      </c>
      <c r="F75" s="28"/>
      <c r="G75" s="28"/>
      <c r="H75" s="28"/>
      <c r="I75" s="89">
        <f t="shared" si="9"/>
        <v>19434855.5</v>
      </c>
      <c r="J75" s="40">
        <f t="shared" si="12"/>
        <v>2.0355168107809581E-2</v>
      </c>
      <c r="K75" s="32" t="str">
        <f t="shared" si="10"/>
        <v>Yes</v>
      </c>
      <c r="L75" s="32" t="str">
        <f t="shared" si="11"/>
        <v xml:space="preserve"> </v>
      </c>
    </row>
    <row r="76" spans="1:12" x14ac:dyDescent="0.2">
      <c r="A76" s="32" t="s">
        <v>218</v>
      </c>
      <c r="B76" s="34">
        <v>18597878</v>
      </c>
      <c r="C76" s="34">
        <v>10194272</v>
      </c>
      <c r="D76" s="34">
        <f t="shared" si="14"/>
        <v>28792150</v>
      </c>
      <c r="E76" s="34">
        <f t="shared" si="8"/>
        <v>-5097136</v>
      </c>
      <c r="G76" s="28"/>
      <c r="H76" s="28"/>
      <c r="I76" s="9">
        <f t="shared" si="9"/>
        <v>23695014</v>
      </c>
      <c r="J76" s="40">
        <f t="shared" si="12"/>
        <v>2.4817060939141097E-2</v>
      </c>
      <c r="K76" s="32" t="str">
        <f t="shared" si="10"/>
        <v>Yes</v>
      </c>
      <c r="L76" s="32" t="str">
        <f t="shared" si="11"/>
        <v xml:space="preserve"> </v>
      </c>
    </row>
    <row r="77" spans="1:12" x14ac:dyDescent="0.2">
      <c r="A77" s="32" t="s">
        <v>219</v>
      </c>
      <c r="B77" s="34">
        <v>5251120</v>
      </c>
      <c r="C77" s="34">
        <v>0</v>
      </c>
      <c r="D77" s="34">
        <f t="shared" si="14"/>
        <v>5251120</v>
      </c>
      <c r="E77" s="34">
        <f t="shared" si="8"/>
        <v>0</v>
      </c>
      <c r="G77" s="28"/>
      <c r="H77" s="28"/>
      <c r="I77" s="9">
        <f t="shared" si="9"/>
        <v>5251120</v>
      </c>
      <c r="J77" s="40">
        <f t="shared" si="12"/>
        <v>5.4997800397477122E-3</v>
      </c>
      <c r="K77" s="32" t="str">
        <f t="shared" si="10"/>
        <v>Yes</v>
      </c>
      <c r="L77" s="32" t="str">
        <f t="shared" si="11"/>
        <v xml:space="preserve"> </v>
      </c>
    </row>
    <row r="78" spans="1:12" x14ac:dyDescent="0.2">
      <c r="A78" s="32" t="s">
        <v>220</v>
      </c>
      <c r="B78" s="34">
        <v>6086212</v>
      </c>
      <c r="C78" s="34">
        <v>0</v>
      </c>
      <c r="D78" s="34">
        <f t="shared" si="14"/>
        <v>6086212</v>
      </c>
      <c r="E78" s="34">
        <f t="shared" si="8"/>
        <v>0</v>
      </c>
      <c r="F78" s="34">
        <v>-2122919</v>
      </c>
      <c r="I78" s="9">
        <f t="shared" si="9"/>
        <v>3963293</v>
      </c>
      <c r="J78" s="40">
        <f t="shared" si="12"/>
        <v>4.1509696470604044E-3</v>
      </c>
      <c r="K78" s="32" t="str">
        <f t="shared" si="10"/>
        <v>Yes</v>
      </c>
      <c r="L78" s="32" t="str">
        <f t="shared" si="11"/>
        <v>Excludes risk mgmt claim payouts (529700)</v>
      </c>
    </row>
    <row r="79" spans="1:12" x14ac:dyDescent="0.2">
      <c r="A79" s="32" t="s">
        <v>221</v>
      </c>
      <c r="B79" s="34">
        <v>4325604</v>
      </c>
      <c r="C79" s="34">
        <v>0</v>
      </c>
      <c r="D79" s="34">
        <f t="shared" ref="D79:D83" si="15">SUM(B79:C79)</f>
        <v>4325604</v>
      </c>
      <c r="E79" s="34">
        <f t="shared" ref="E79:E83" si="16">C79*-0.5</f>
        <v>0</v>
      </c>
      <c r="F79" s="34">
        <v>-2209737</v>
      </c>
      <c r="I79" s="9">
        <f t="shared" ref="I79:I82" si="17">IF((VLOOKUP(A79,Crosswalk,2,FALSE)="Excluded"),0,(D79+E79+F79+G79+H79))</f>
        <v>2115867</v>
      </c>
      <c r="J79" s="40">
        <f t="shared" si="12"/>
        <v>2.2160611628301912E-3</v>
      </c>
      <c r="K79" s="32" t="str">
        <f t="shared" ref="K79:K83" si="18">IF(VLOOKUP(A79,Model,2,FALSE)&lt;&gt;"","Yes","No")</f>
        <v>Yes</v>
      </c>
      <c r="L79" s="32" t="str">
        <f t="shared" si="11"/>
        <v>Excludes risk mgmt claim payouts (529700)</v>
      </c>
    </row>
    <row r="80" spans="1:12" x14ac:dyDescent="0.2">
      <c r="A80" s="32" t="s">
        <v>222</v>
      </c>
      <c r="B80" s="34">
        <v>39826974</v>
      </c>
      <c r="C80" s="34">
        <v>3312594</v>
      </c>
      <c r="D80" s="34">
        <f t="shared" si="15"/>
        <v>43139568</v>
      </c>
      <c r="E80" s="34">
        <f t="shared" si="16"/>
        <v>-1656297</v>
      </c>
      <c r="I80" s="9">
        <f t="shared" si="17"/>
        <v>41483271</v>
      </c>
      <c r="J80" s="40">
        <f t="shared" si="12"/>
        <v>4.3447657990913394E-2</v>
      </c>
      <c r="K80" s="32" t="str">
        <f t="shared" si="18"/>
        <v>Yes</v>
      </c>
      <c r="L80" s="32" t="str">
        <f t="shared" si="11"/>
        <v xml:space="preserve"> </v>
      </c>
    </row>
    <row r="81" spans="1:12" x14ac:dyDescent="0.2">
      <c r="A81" s="32" t="s">
        <v>223</v>
      </c>
      <c r="B81" s="34">
        <v>3425658</v>
      </c>
      <c r="C81" s="34">
        <v>1018102</v>
      </c>
      <c r="D81" s="34">
        <f t="shared" si="15"/>
        <v>4443760</v>
      </c>
      <c r="E81" s="34">
        <f t="shared" si="16"/>
        <v>-509051</v>
      </c>
      <c r="I81" s="9">
        <f t="shared" si="17"/>
        <v>3934709</v>
      </c>
      <c r="J81" s="40">
        <f t="shared" si="12"/>
        <v>4.1210320884717318E-3</v>
      </c>
      <c r="K81" s="32" t="str">
        <f t="shared" si="18"/>
        <v>Yes</v>
      </c>
      <c r="L81" s="32" t="str">
        <f t="shared" si="11"/>
        <v xml:space="preserve"> </v>
      </c>
    </row>
    <row r="82" spans="1:12" x14ac:dyDescent="0.2">
      <c r="A82" s="32" t="s">
        <v>224</v>
      </c>
      <c r="B82" s="34">
        <v>118406648</v>
      </c>
      <c r="C82" s="34">
        <v>72089</v>
      </c>
      <c r="D82" s="34">
        <f t="shared" si="15"/>
        <v>118478737</v>
      </c>
      <c r="E82" s="34">
        <f t="shared" si="16"/>
        <v>-36044.5</v>
      </c>
      <c r="F82" s="34">
        <f>-107074899-7841643</f>
        <v>-114916542</v>
      </c>
      <c r="I82" s="9">
        <f t="shared" si="17"/>
        <v>3526150.5</v>
      </c>
      <c r="J82" s="40">
        <f t="shared" si="12"/>
        <v>3.6931268257145936E-3</v>
      </c>
      <c r="K82" s="32" t="str">
        <f t="shared" si="18"/>
        <v>Yes</v>
      </c>
      <c r="L82" s="32" t="str">
        <f t="shared" si="11"/>
        <v>Excludes retirement payouts, PERS contributions, and disability/death benefits (547000, 547100)</v>
      </c>
    </row>
    <row r="83" spans="1:12" x14ac:dyDescent="0.2">
      <c r="A83" s="32" t="s">
        <v>225</v>
      </c>
      <c r="B83" s="34">
        <v>8561</v>
      </c>
      <c r="C83" s="34">
        <v>0</v>
      </c>
      <c r="D83" s="34">
        <f t="shared" si="15"/>
        <v>8561</v>
      </c>
      <c r="E83" s="34">
        <f t="shared" si="16"/>
        <v>0</v>
      </c>
      <c r="I83" s="9">
        <v>0</v>
      </c>
      <c r="J83" s="40">
        <f t="shared" si="12"/>
        <v>0</v>
      </c>
      <c r="K83" s="32" t="str">
        <f t="shared" si="18"/>
        <v>Yes</v>
      </c>
      <c r="L83" s="32" t="str">
        <f t="shared" si="11"/>
        <v xml:space="preserve"> </v>
      </c>
    </row>
  </sheetData>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2"/>
  <sheetViews>
    <sheetView workbookViewId="0">
      <selection activeCell="E17" sqref="E17"/>
    </sheetView>
  </sheetViews>
  <sheetFormatPr defaultColWidth="8.7109375" defaultRowHeight="12.75" x14ac:dyDescent="0.2"/>
  <cols>
    <col min="1" max="1" width="11.42578125" style="32" bestFit="1" customWidth="1"/>
    <col min="2" max="2" width="8.42578125" style="32" bestFit="1" customWidth="1"/>
    <col min="3" max="3" width="8.42578125" style="32" customWidth="1"/>
    <col min="4" max="4" width="12.5703125" style="34" customWidth="1"/>
    <col min="5" max="5" width="11.28515625" style="34" customWidth="1"/>
    <col min="6" max="6" width="11" style="32" customWidth="1"/>
    <col min="7" max="7" width="10.28515625" style="32" customWidth="1"/>
    <col min="8" max="8" width="9.7109375" style="32" customWidth="1"/>
    <col min="9" max="16384" width="8.7109375" style="32"/>
  </cols>
  <sheetData>
    <row r="1" spans="1:8" s="14" customFormat="1" ht="60" x14ac:dyDescent="0.25">
      <c r="A1" s="16" t="s">
        <v>226</v>
      </c>
      <c r="B1" s="21" t="s">
        <v>383</v>
      </c>
      <c r="C1" s="21" t="s">
        <v>408</v>
      </c>
      <c r="D1" s="87" t="s">
        <v>407</v>
      </c>
      <c r="E1" s="87" t="s">
        <v>384</v>
      </c>
      <c r="F1" s="17" t="s">
        <v>340</v>
      </c>
      <c r="G1" s="5" t="s">
        <v>338</v>
      </c>
      <c r="H1" s="5" t="s">
        <v>343</v>
      </c>
    </row>
    <row r="2" spans="1:8" ht="15" x14ac:dyDescent="0.25">
      <c r="A2" s="101" t="s">
        <v>161</v>
      </c>
      <c r="B2" s="102">
        <v>69</v>
      </c>
      <c r="C2" s="63">
        <v>-12</v>
      </c>
      <c r="D2" s="34">
        <v>-57</v>
      </c>
      <c r="E2" s="34">
        <f t="shared" ref="E2:E41" si="0">IF((VLOOKUP(A2,Crosswalk,2,FALSE)="Excluded"),0,(SUM(B2+C2+D2)))</f>
        <v>0</v>
      </c>
      <c r="F2" s="18">
        <f t="shared" ref="F2:F41" si="1">E2/SUM($E$2:$E$41)</f>
        <v>0</v>
      </c>
      <c r="G2" s="32" t="str">
        <f t="shared" ref="G2:G41" si="2">IF(VLOOKUP(A2,Model,2,FALSE)&lt;&gt;"","Yes","No")</f>
        <v>Yes</v>
      </c>
      <c r="H2" s="32" t="str">
        <f t="shared" ref="H2:H40" si="3">IF((VLOOKUP(A2,Crosswalk,3,FALSE))=0," ",(VLOOKUP(A2,Crosswalk,3,FALSE)))</f>
        <v>100% Overhead</v>
      </c>
    </row>
    <row r="3" spans="1:8" ht="15" x14ac:dyDescent="0.25">
      <c r="A3" s="101" t="s">
        <v>162</v>
      </c>
      <c r="B3" s="102">
        <v>70</v>
      </c>
      <c r="C3" s="63"/>
      <c r="D3" s="34">
        <v>-70</v>
      </c>
      <c r="E3" s="34">
        <f t="shared" si="0"/>
        <v>0</v>
      </c>
      <c r="F3" s="18">
        <f t="shared" si="1"/>
        <v>0</v>
      </c>
      <c r="G3" s="32" t="str">
        <f t="shared" si="2"/>
        <v>Yes</v>
      </c>
      <c r="H3" s="32" t="str">
        <f t="shared" si="3"/>
        <v>Exclude IPR starting in FY 2017-18 actuals</v>
      </c>
    </row>
    <row r="4" spans="1:8" ht="15" x14ac:dyDescent="0.25">
      <c r="A4" s="101" t="s">
        <v>342</v>
      </c>
      <c r="B4" s="102">
        <v>17</v>
      </c>
      <c r="C4" s="63">
        <v>-2</v>
      </c>
      <c r="D4" s="34">
        <v>-15</v>
      </c>
      <c r="E4" s="34">
        <f t="shared" si="0"/>
        <v>0</v>
      </c>
      <c r="F4" s="18">
        <f t="shared" si="1"/>
        <v>0</v>
      </c>
      <c r="G4" s="32" t="str">
        <f t="shared" si="2"/>
        <v>Yes</v>
      </c>
      <c r="H4" s="32" t="str">
        <f t="shared" si="3"/>
        <v>100% Overhead</v>
      </c>
    </row>
    <row r="5" spans="1:8" ht="15" x14ac:dyDescent="0.25">
      <c r="A5" s="101" t="s">
        <v>164</v>
      </c>
      <c r="B5" s="102">
        <v>22</v>
      </c>
      <c r="C5" s="63">
        <v>-2</v>
      </c>
      <c r="D5" s="34">
        <v>-20</v>
      </c>
      <c r="E5" s="34">
        <f t="shared" si="0"/>
        <v>0</v>
      </c>
      <c r="F5" s="18">
        <f t="shared" si="1"/>
        <v>0</v>
      </c>
      <c r="G5" s="32" t="str">
        <f t="shared" si="2"/>
        <v>Yes</v>
      </c>
      <c r="H5" s="32" t="str">
        <f t="shared" si="3"/>
        <v>100% Overhead</v>
      </c>
    </row>
    <row r="6" spans="1:8" ht="15" x14ac:dyDescent="0.25">
      <c r="A6" s="101" t="s">
        <v>165</v>
      </c>
      <c r="B6" s="102">
        <v>759</v>
      </c>
      <c r="C6" s="63">
        <v>-16</v>
      </c>
      <c r="D6" s="28">
        <v>-1</v>
      </c>
      <c r="E6" s="34">
        <f t="shared" si="0"/>
        <v>742</v>
      </c>
      <c r="F6" s="18">
        <f t="shared" si="1"/>
        <v>9.1637973195275335E-2</v>
      </c>
      <c r="G6" s="32" t="str">
        <f t="shared" si="2"/>
        <v>Yes</v>
      </c>
      <c r="H6" s="32" t="str">
        <f t="shared" si="3"/>
        <v>Exclude expenditures for emergency mgmt (FREO000004 Fund Center)</v>
      </c>
    </row>
    <row r="7" spans="1:8" ht="15" x14ac:dyDescent="0.25">
      <c r="A7" s="101" t="s">
        <v>157</v>
      </c>
      <c r="B7" s="102">
        <v>9</v>
      </c>
      <c r="C7" s="63">
        <v>-1</v>
      </c>
      <c r="D7" s="34">
        <v>-8</v>
      </c>
      <c r="E7" s="34">
        <f t="shared" si="0"/>
        <v>0</v>
      </c>
      <c r="F7" s="18">
        <f t="shared" si="1"/>
        <v>0</v>
      </c>
      <c r="G7" s="32" t="str">
        <f t="shared" si="2"/>
        <v>Yes</v>
      </c>
      <c r="H7" s="32" t="str">
        <f t="shared" si="3"/>
        <v>100% Overhead</v>
      </c>
    </row>
    <row r="8" spans="1:8" ht="15" x14ac:dyDescent="0.25">
      <c r="A8" s="101" t="s">
        <v>166</v>
      </c>
      <c r="B8" s="102">
        <v>64</v>
      </c>
      <c r="C8" s="63">
        <v>-2</v>
      </c>
      <c r="D8" s="28"/>
      <c r="E8" s="34">
        <f t="shared" si="0"/>
        <v>62</v>
      </c>
      <c r="F8" s="18">
        <f t="shared" si="1"/>
        <v>7.6570813182035994E-3</v>
      </c>
      <c r="G8" s="32" t="str">
        <f t="shared" si="2"/>
        <v>Yes</v>
      </c>
      <c r="H8" s="32" t="str">
        <f t="shared" si="3"/>
        <v xml:space="preserve"> </v>
      </c>
    </row>
    <row r="9" spans="1:8" ht="15" x14ac:dyDescent="0.25">
      <c r="A9" s="101" t="s">
        <v>159</v>
      </c>
      <c r="B9" s="102">
        <v>275</v>
      </c>
      <c r="C9" s="63">
        <v>-10</v>
      </c>
      <c r="D9" s="28">
        <f>-178-8</f>
        <v>-186</v>
      </c>
      <c r="E9" s="34">
        <f t="shared" si="0"/>
        <v>79</v>
      </c>
      <c r="F9" s="18">
        <f t="shared" si="1"/>
        <v>9.7566036151303919E-3</v>
      </c>
      <c r="G9" s="32" t="str">
        <f t="shared" si="2"/>
        <v>Yes</v>
      </c>
      <c r="H9" s="32" t="str">
        <f t="shared" si="3"/>
        <v>Exclude MFHR, MFDR, MFPU, MFOP, and MFFS cost centers. Beginning FY 18-19 need to also adjust for MFRB000002 functional area LACROPBAAR (accounts receiveable)</v>
      </c>
    </row>
    <row r="10" spans="1:8" ht="15" x14ac:dyDescent="0.25">
      <c r="A10" s="101" t="s">
        <v>163</v>
      </c>
      <c r="B10" s="102">
        <v>22</v>
      </c>
      <c r="C10" s="63">
        <v>-3</v>
      </c>
      <c r="D10" s="28">
        <f>-15-2</f>
        <v>-17</v>
      </c>
      <c r="E10" s="34">
        <f t="shared" si="0"/>
        <v>2</v>
      </c>
      <c r="F10" s="18">
        <f t="shared" si="1"/>
        <v>2.4700262316785805E-4</v>
      </c>
      <c r="G10" s="32" t="str">
        <f t="shared" si="2"/>
        <v>Yes</v>
      </c>
      <c r="H10" s="32" t="str">
        <f t="shared" si="3"/>
        <v>Exclude expenditures for Admin &amp; Support (LAMYAS Functional Area), include only OYVP for positions</v>
      </c>
    </row>
    <row r="11" spans="1:8" ht="15" x14ac:dyDescent="0.25">
      <c r="A11" s="101" t="s">
        <v>160</v>
      </c>
      <c r="B11" s="102">
        <v>76</v>
      </c>
      <c r="C11" s="63">
        <v>-10</v>
      </c>
      <c r="D11" s="28">
        <v>-6</v>
      </c>
      <c r="E11" s="34">
        <f t="shared" si="0"/>
        <v>60</v>
      </c>
      <c r="F11" s="18">
        <f t="shared" si="1"/>
        <v>7.4100786950357413E-3</v>
      </c>
      <c r="G11" s="32" t="str">
        <f t="shared" si="2"/>
        <v>Yes</v>
      </c>
      <c r="H11" s="32" t="str">
        <f t="shared" si="3"/>
        <v>Exclude expenditures for Information &amp; Referral and Public Involvement best practices (CDIR - Info &amp; Rfrrl org unit for positions, CDNRNOPI - no positions)</v>
      </c>
    </row>
    <row r="12" spans="1:8" ht="15" x14ac:dyDescent="0.25">
      <c r="A12" s="101" t="s">
        <v>316</v>
      </c>
      <c r="B12" s="102">
        <v>14</v>
      </c>
      <c r="C12" s="63"/>
      <c r="D12" s="86">
        <f>-0.1-0.62-1.98-1.88-0.99-0.59</f>
        <v>-6.16</v>
      </c>
      <c r="E12" s="85">
        <f t="shared" si="0"/>
        <v>7.84</v>
      </c>
      <c r="F12" s="18">
        <f t="shared" si="1"/>
        <v>9.6825028281800354E-4</v>
      </c>
      <c r="G12" s="32" t="str">
        <f t="shared" si="2"/>
        <v>Yes</v>
      </c>
      <c r="H12" s="32" t="str">
        <f t="shared" si="3"/>
        <v>Exclude expenditures for Citywide Equity, Civil Rights, and % admin (CDCE, CDCR &amp; portion CDAS) - use base budget for position allocations</v>
      </c>
    </row>
    <row r="13" spans="1:8" ht="15" x14ac:dyDescent="0.25">
      <c r="A13" s="101" t="s">
        <v>152</v>
      </c>
      <c r="B13" s="102">
        <v>16</v>
      </c>
      <c r="C13" s="63">
        <v>-3</v>
      </c>
      <c r="D13" s="28">
        <f>-7-1</f>
        <v>-8</v>
      </c>
      <c r="E13" s="34">
        <f t="shared" si="0"/>
        <v>5</v>
      </c>
      <c r="F13" s="18">
        <f t="shared" si="1"/>
        <v>6.1750655791964514E-4</v>
      </c>
      <c r="G13" s="32" t="str">
        <f t="shared" si="2"/>
        <v>Yes</v>
      </c>
      <c r="H13" s="32" t="str">
        <f t="shared" si="3"/>
        <v>Exclude Commissioner's Office (PACO000001)</v>
      </c>
    </row>
    <row r="14" spans="1:8" ht="15" x14ac:dyDescent="0.25">
      <c r="A14" s="101" t="s">
        <v>167</v>
      </c>
      <c r="B14" s="102">
        <v>5425</v>
      </c>
      <c r="C14" s="63">
        <v>-2610</v>
      </c>
      <c r="E14" s="34">
        <f t="shared" si="0"/>
        <v>2815</v>
      </c>
      <c r="F14" s="18">
        <f t="shared" si="1"/>
        <v>0.3476561921087602</v>
      </c>
      <c r="G14" s="32" t="str">
        <f t="shared" si="2"/>
        <v>Yes</v>
      </c>
      <c r="H14" s="32" t="str">
        <f t="shared" si="3"/>
        <v xml:space="preserve"> </v>
      </c>
    </row>
    <row r="15" spans="1:8" ht="15" x14ac:dyDescent="0.25">
      <c r="A15" s="101" t="s">
        <v>168</v>
      </c>
      <c r="B15" s="102">
        <v>1212</v>
      </c>
      <c r="C15" s="63"/>
      <c r="D15" s="28"/>
      <c r="E15" s="34">
        <f t="shared" si="0"/>
        <v>1212</v>
      </c>
      <c r="F15" s="18">
        <f t="shared" si="1"/>
        <v>0.14968358963972198</v>
      </c>
      <c r="G15" s="32" t="str">
        <f t="shared" si="2"/>
        <v>Yes</v>
      </c>
      <c r="H15" s="32" t="str">
        <f t="shared" si="3"/>
        <v xml:space="preserve"> </v>
      </c>
    </row>
    <row r="16" spans="1:8" ht="15" x14ac:dyDescent="0.25">
      <c r="A16" s="101" t="s">
        <v>151</v>
      </c>
      <c r="B16" s="102">
        <v>97</v>
      </c>
      <c r="C16" s="63">
        <v>-5</v>
      </c>
      <c r="D16" s="28">
        <f>-(13*0.5)-8.26</f>
        <v>-14.76</v>
      </c>
      <c r="E16" s="34">
        <f t="shared" si="0"/>
        <v>77.239999999999995</v>
      </c>
      <c r="F16" s="18">
        <f t="shared" si="1"/>
        <v>9.5392413067426768E-3</v>
      </c>
      <c r="G16" s="32" t="str">
        <f t="shared" si="2"/>
        <v>Yes</v>
      </c>
      <c r="H16" s="32" t="str">
        <f t="shared" si="3"/>
        <v>Exclude expenditures for Comp Planning &amp; 1/2 of district liaisons (CDAPDI - Dist Plan org unit for positions, CDCPCM - use base budget for positions)</v>
      </c>
    </row>
    <row r="17" spans="1:8" ht="15" x14ac:dyDescent="0.25">
      <c r="A17" s="101" t="s">
        <v>153</v>
      </c>
      <c r="B17" s="102">
        <v>10</v>
      </c>
      <c r="C17" s="63">
        <v>-2</v>
      </c>
      <c r="D17" s="34">
        <v>-8</v>
      </c>
      <c r="E17" s="34">
        <f t="shared" si="0"/>
        <v>0</v>
      </c>
      <c r="F17" s="18">
        <f t="shared" si="1"/>
        <v>0</v>
      </c>
      <c r="G17" s="32" t="str">
        <f t="shared" si="2"/>
        <v>Yes</v>
      </c>
      <c r="H17" s="32" t="str">
        <f t="shared" si="3"/>
        <v>100% Overhead</v>
      </c>
    </row>
    <row r="18" spans="1:8" ht="15" x14ac:dyDescent="0.25">
      <c r="A18" s="101" t="s">
        <v>154</v>
      </c>
      <c r="B18" s="102">
        <v>10</v>
      </c>
      <c r="C18" s="63">
        <v>-1</v>
      </c>
      <c r="D18" s="34">
        <v>-9</v>
      </c>
      <c r="E18" s="34">
        <f t="shared" si="0"/>
        <v>0</v>
      </c>
      <c r="F18" s="18">
        <f t="shared" si="1"/>
        <v>0</v>
      </c>
      <c r="G18" s="32" t="str">
        <f t="shared" si="2"/>
        <v>Yes</v>
      </c>
      <c r="H18" s="32" t="str">
        <f t="shared" si="3"/>
        <v>100% Overhead</v>
      </c>
    </row>
    <row r="19" spans="1:8" ht="15" x14ac:dyDescent="0.25">
      <c r="A19" s="101" t="s">
        <v>155</v>
      </c>
      <c r="B19" s="102">
        <v>13</v>
      </c>
      <c r="C19" s="63">
        <v>-2</v>
      </c>
      <c r="D19" s="34">
        <v>-11</v>
      </c>
      <c r="E19" s="34">
        <f t="shared" si="0"/>
        <v>0</v>
      </c>
      <c r="F19" s="18">
        <f t="shared" si="1"/>
        <v>0</v>
      </c>
      <c r="G19" s="32" t="str">
        <f t="shared" si="2"/>
        <v>Yes</v>
      </c>
      <c r="H19" s="32" t="str">
        <f t="shared" si="3"/>
        <v>100% Overhead</v>
      </c>
    </row>
    <row r="20" spans="1:8" ht="15" x14ac:dyDescent="0.25">
      <c r="A20" s="101" t="s">
        <v>170</v>
      </c>
      <c r="B20" s="102">
        <v>883</v>
      </c>
      <c r="C20" s="63">
        <v>-60</v>
      </c>
      <c r="E20" s="34">
        <f t="shared" si="0"/>
        <v>823</v>
      </c>
      <c r="F20" s="18">
        <f t="shared" si="1"/>
        <v>0.10164157943357359</v>
      </c>
      <c r="G20" s="32" t="str">
        <f t="shared" si="2"/>
        <v>Yes</v>
      </c>
      <c r="H20" s="32" t="str">
        <f t="shared" si="3"/>
        <v xml:space="preserve"> </v>
      </c>
    </row>
    <row r="21" spans="1:8" ht="15" x14ac:dyDescent="0.25">
      <c r="A21" s="101" t="s">
        <v>171</v>
      </c>
      <c r="B21" s="102">
        <v>159</v>
      </c>
      <c r="C21" s="63"/>
      <c r="E21" s="34">
        <f t="shared" si="0"/>
        <v>159</v>
      </c>
      <c r="F21" s="18">
        <f t="shared" si="1"/>
        <v>1.9636708541844714E-2</v>
      </c>
      <c r="G21" s="32" t="str">
        <f t="shared" si="2"/>
        <v>Yes</v>
      </c>
      <c r="H21" s="32" t="str">
        <f t="shared" si="3"/>
        <v xml:space="preserve"> </v>
      </c>
    </row>
    <row r="22" spans="1:8" ht="15" x14ac:dyDescent="0.25">
      <c r="A22" s="101" t="s">
        <v>173</v>
      </c>
      <c r="B22" s="102">
        <v>380</v>
      </c>
      <c r="C22" s="63">
        <v>-18</v>
      </c>
      <c r="E22" s="34">
        <f t="shared" si="0"/>
        <v>362</v>
      </c>
      <c r="F22" s="18">
        <f t="shared" si="1"/>
        <v>4.4707474793382308E-2</v>
      </c>
      <c r="G22" s="32" t="str">
        <f t="shared" si="2"/>
        <v>Yes</v>
      </c>
      <c r="H22" s="32" t="str">
        <f t="shared" si="3"/>
        <v xml:space="preserve"> </v>
      </c>
    </row>
    <row r="23" spans="1:8" ht="15" x14ac:dyDescent="0.25">
      <c r="A23" s="101" t="s">
        <v>181</v>
      </c>
      <c r="B23" s="102">
        <v>5</v>
      </c>
      <c r="C23" s="63"/>
      <c r="D23" s="28">
        <v>-5</v>
      </c>
      <c r="E23" s="34">
        <f t="shared" si="0"/>
        <v>0</v>
      </c>
      <c r="F23" s="18">
        <f t="shared" si="1"/>
        <v>0</v>
      </c>
      <c r="G23" s="32" t="str">
        <f t="shared" si="2"/>
        <v>Yes</v>
      </c>
      <c r="H23" s="32" t="str">
        <f t="shared" si="3"/>
        <v>Fixed at $25,000 (hardcoded in Model)</v>
      </c>
    </row>
    <row r="24" spans="1:8" ht="15" x14ac:dyDescent="0.25">
      <c r="A24" s="101" t="s">
        <v>205</v>
      </c>
      <c r="B24" s="102">
        <v>25</v>
      </c>
      <c r="C24" s="63">
        <v>-2</v>
      </c>
      <c r="E24" s="34">
        <f t="shared" si="0"/>
        <v>23</v>
      </c>
      <c r="F24" s="18">
        <f t="shared" si="1"/>
        <v>2.8405301664303677E-3</v>
      </c>
      <c r="G24" s="32" t="str">
        <f t="shared" si="2"/>
        <v>Yes</v>
      </c>
      <c r="H24" s="32" t="str">
        <f t="shared" si="3"/>
        <v xml:space="preserve"> </v>
      </c>
    </row>
    <row r="25" spans="1:8" ht="15" x14ac:dyDescent="0.25">
      <c r="A25" s="101" t="s">
        <v>207</v>
      </c>
      <c r="B25" s="102">
        <v>595</v>
      </c>
      <c r="C25" s="63">
        <v>-31</v>
      </c>
      <c r="E25" s="34">
        <f t="shared" si="0"/>
        <v>564</v>
      </c>
      <c r="F25" s="18">
        <f t="shared" si="1"/>
        <v>6.9654739733335969E-2</v>
      </c>
      <c r="G25" s="32" t="str">
        <f t="shared" si="2"/>
        <v>Yes</v>
      </c>
      <c r="H25" s="32" t="str">
        <f t="shared" si="3"/>
        <v xml:space="preserve"> </v>
      </c>
    </row>
    <row r="26" spans="1:8" ht="15" x14ac:dyDescent="0.25">
      <c r="A26" s="101" t="s">
        <v>208</v>
      </c>
      <c r="B26" s="102">
        <v>4</v>
      </c>
      <c r="C26" s="63"/>
      <c r="E26" s="34">
        <f t="shared" si="0"/>
        <v>4</v>
      </c>
      <c r="F26" s="18">
        <f t="shared" si="1"/>
        <v>4.9400524633571609E-4</v>
      </c>
      <c r="G26" s="32" t="str">
        <f t="shared" si="2"/>
        <v>Yes</v>
      </c>
      <c r="H26" s="32" t="str">
        <f t="shared" si="3"/>
        <v xml:space="preserve"> </v>
      </c>
    </row>
    <row r="27" spans="1:8" ht="15" x14ac:dyDescent="0.25">
      <c r="A27" s="101" t="s">
        <v>209</v>
      </c>
      <c r="B27" s="102">
        <v>647</v>
      </c>
      <c r="C27" s="63">
        <v>-58</v>
      </c>
      <c r="E27" s="34">
        <f t="shared" si="0"/>
        <v>589</v>
      </c>
      <c r="F27" s="18">
        <f t="shared" si="1"/>
        <v>7.2742272522934193E-2</v>
      </c>
      <c r="G27" s="32" t="str">
        <f t="shared" si="2"/>
        <v>Yes</v>
      </c>
      <c r="H27" s="32" t="str">
        <f t="shared" si="3"/>
        <v xml:space="preserve"> </v>
      </c>
    </row>
    <row r="28" spans="1:8" ht="15" x14ac:dyDescent="0.25">
      <c r="A28" s="101" t="s">
        <v>210</v>
      </c>
      <c r="B28" s="102">
        <v>121</v>
      </c>
      <c r="C28" s="63">
        <v>-75</v>
      </c>
      <c r="E28" s="34">
        <f t="shared" si="0"/>
        <v>46</v>
      </c>
      <c r="F28" s="18">
        <f t="shared" si="1"/>
        <v>5.6810603328607354E-3</v>
      </c>
      <c r="G28" s="32" t="str">
        <f t="shared" si="2"/>
        <v>Yes</v>
      </c>
      <c r="H28" s="32" t="str">
        <f t="shared" si="3"/>
        <v xml:space="preserve"> </v>
      </c>
    </row>
    <row r="29" spans="1:8" ht="15" x14ac:dyDescent="0.25">
      <c r="A29" s="101" t="s">
        <v>211</v>
      </c>
      <c r="B29" s="102">
        <v>156</v>
      </c>
      <c r="C29" s="63">
        <v>-150</v>
      </c>
      <c r="E29" s="34">
        <f t="shared" si="0"/>
        <v>6</v>
      </c>
      <c r="F29" s="18">
        <f t="shared" si="1"/>
        <v>7.4100786950357408E-4</v>
      </c>
      <c r="G29" s="32" t="str">
        <f t="shared" si="2"/>
        <v>Yes</v>
      </c>
      <c r="H29" s="32" t="str">
        <f t="shared" si="3"/>
        <v xml:space="preserve"> </v>
      </c>
    </row>
    <row r="30" spans="1:8" ht="15" x14ac:dyDescent="0.25">
      <c r="A30" s="101" t="s">
        <v>212</v>
      </c>
      <c r="B30" s="102">
        <v>25</v>
      </c>
      <c r="C30" s="63">
        <v>-2</v>
      </c>
      <c r="E30" s="34">
        <f t="shared" si="0"/>
        <v>23</v>
      </c>
      <c r="F30" s="18">
        <f t="shared" si="1"/>
        <v>2.8405301664303677E-3</v>
      </c>
      <c r="G30" s="32" t="str">
        <f t="shared" si="2"/>
        <v>Yes</v>
      </c>
      <c r="H30" s="32" t="str">
        <f t="shared" si="3"/>
        <v xml:space="preserve"> </v>
      </c>
    </row>
    <row r="31" spans="1:8" ht="15" x14ac:dyDescent="0.25">
      <c r="A31" s="101" t="s">
        <v>214</v>
      </c>
      <c r="B31" s="102">
        <v>3</v>
      </c>
      <c r="C31" s="63">
        <v>-1</v>
      </c>
      <c r="E31" s="34">
        <f t="shared" si="0"/>
        <v>2</v>
      </c>
      <c r="F31" s="18">
        <f t="shared" si="1"/>
        <v>2.4700262316785805E-4</v>
      </c>
      <c r="G31" s="32" t="str">
        <f t="shared" si="2"/>
        <v>Yes</v>
      </c>
      <c r="H31" s="32" t="str">
        <f t="shared" si="3"/>
        <v xml:space="preserve"> </v>
      </c>
    </row>
    <row r="32" spans="1:8" ht="15" x14ac:dyDescent="0.25">
      <c r="A32" s="101" t="s">
        <v>215</v>
      </c>
      <c r="B32" s="102">
        <v>5</v>
      </c>
      <c r="C32" s="63"/>
      <c r="E32" s="34">
        <f t="shared" si="0"/>
        <v>5</v>
      </c>
      <c r="F32" s="18">
        <f t="shared" si="1"/>
        <v>6.1750655791964514E-4</v>
      </c>
      <c r="G32" s="32" t="str">
        <f t="shared" si="2"/>
        <v>Yes</v>
      </c>
      <c r="H32" s="32" t="str">
        <f t="shared" si="3"/>
        <v xml:space="preserve"> </v>
      </c>
    </row>
    <row r="33" spans="1:8" ht="15" x14ac:dyDescent="0.25">
      <c r="A33" s="101" t="s">
        <v>216</v>
      </c>
      <c r="B33" s="102">
        <v>14</v>
      </c>
      <c r="C33" s="63">
        <v>-1</v>
      </c>
      <c r="E33" s="34">
        <f t="shared" si="0"/>
        <v>13</v>
      </c>
      <c r="F33" s="18">
        <f t="shared" si="1"/>
        <v>1.6055170505910772E-3</v>
      </c>
      <c r="G33" s="32" t="str">
        <f t="shared" si="2"/>
        <v>Yes</v>
      </c>
      <c r="H33" s="32" t="str">
        <f t="shared" si="3"/>
        <v>Excludes insurance claim payouts (529721 in subfund 700000 and 521900 in subfund 700001)</v>
      </c>
    </row>
    <row r="34" spans="1:8" ht="15" x14ac:dyDescent="0.25">
      <c r="A34" s="101" t="s">
        <v>217</v>
      </c>
      <c r="B34" s="102">
        <v>42</v>
      </c>
      <c r="C34" s="63">
        <v>-4</v>
      </c>
      <c r="E34" s="34">
        <f t="shared" si="0"/>
        <v>38</v>
      </c>
      <c r="F34" s="18">
        <f t="shared" si="1"/>
        <v>4.693049840189303E-3</v>
      </c>
      <c r="G34" s="32" t="str">
        <f t="shared" si="2"/>
        <v>Yes</v>
      </c>
      <c r="H34" s="32" t="str">
        <f t="shared" si="3"/>
        <v xml:space="preserve"> </v>
      </c>
    </row>
    <row r="35" spans="1:8" ht="15" x14ac:dyDescent="0.25">
      <c r="A35" s="101" t="s">
        <v>218</v>
      </c>
      <c r="B35" s="102">
        <v>77</v>
      </c>
      <c r="C35" s="63"/>
      <c r="E35" s="34">
        <f t="shared" si="0"/>
        <v>77</v>
      </c>
      <c r="F35" s="18">
        <f t="shared" si="1"/>
        <v>9.5096009919625347E-3</v>
      </c>
      <c r="G35" s="32" t="str">
        <f t="shared" si="2"/>
        <v>Yes</v>
      </c>
      <c r="H35" s="32" t="str">
        <f t="shared" si="3"/>
        <v xml:space="preserve"> </v>
      </c>
    </row>
    <row r="36" spans="1:8" ht="15" x14ac:dyDescent="0.25">
      <c r="A36" s="101" t="s">
        <v>219</v>
      </c>
      <c r="B36" s="102">
        <v>24</v>
      </c>
      <c r="C36" s="63">
        <v>-2</v>
      </c>
      <c r="E36" s="34">
        <f t="shared" si="0"/>
        <v>22</v>
      </c>
      <c r="F36" s="18">
        <f t="shared" si="1"/>
        <v>2.7170288548464387E-3</v>
      </c>
      <c r="G36" s="32" t="str">
        <f t="shared" si="2"/>
        <v>Yes</v>
      </c>
      <c r="H36" s="32" t="str">
        <f t="shared" si="3"/>
        <v xml:space="preserve"> </v>
      </c>
    </row>
    <row r="37" spans="1:8" ht="15" x14ac:dyDescent="0.25">
      <c r="A37" s="101" t="s">
        <v>220</v>
      </c>
      <c r="B37" s="102">
        <v>20</v>
      </c>
      <c r="C37" s="63">
        <v>-2</v>
      </c>
      <c r="E37" s="34">
        <f t="shared" si="0"/>
        <v>18</v>
      </c>
      <c r="F37" s="18">
        <f t="shared" si="1"/>
        <v>2.2230236085107225E-3</v>
      </c>
      <c r="G37" s="32" t="str">
        <f t="shared" si="2"/>
        <v>Yes</v>
      </c>
      <c r="H37" s="32" t="str">
        <f t="shared" si="3"/>
        <v>Excludes risk mgmt claim payouts (529700)</v>
      </c>
    </row>
    <row r="38" spans="1:8" ht="15" x14ac:dyDescent="0.25">
      <c r="A38" s="101" t="s">
        <v>221</v>
      </c>
      <c r="B38" s="102">
        <v>7</v>
      </c>
      <c r="C38" s="63"/>
      <c r="E38" s="34">
        <f t="shared" si="0"/>
        <v>7</v>
      </c>
      <c r="F38" s="18">
        <f t="shared" si="1"/>
        <v>8.6450918108750313E-4</v>
      </c>
      <c r="G38" s="32" t="str">
        <f t="shared" si="2"/>
        <v>Yes</v>
      </c>
      <c r="H38" s="32" t="str">
        <f t="shared" si="3"/>
        <v>Excludes risk mgmt claim payouts (529700)</v>
      </c>
    </row>
    <row r="39" spans="1:8" ht="15" x14ac:dyDescent="0.25">
      <c r="A39" s="101" t="s">
        <v>222</v>
      </c>
      <c r="B39" s="102">
        <v>226</v>
      </c>
      <c r="C39" s="63">
        <v>-9</v>
      </c>
      <c r="E39" s="34">
        <f t="shared" si="0"/>
        <v>217</v>
      </c>
      <c r="F39" s="18">
        <f t="shared" si="1"/>
        <v>2.6799784613712598E-2</v>
      </c>
      <c r="G39" s="32" t="str">
        <f t="shared" si="2"/>
        <v>Yes</v>
      </c>
      <c r="H39" s="32" t="str">
        <f t="shared" si="3"/>
        <v xml:space="preserve"> </v>
      </c>
    </row>
    <row r="40" spans="1:8" ht="15" x14ac:dyDescent="0.25">
      <c r="A40" s="101" t="s">
        <v>223</v>
      </c>
      <c r="B40" s="102">
        <v>20</v>
      </c>
      <c r="C40" s="63"/>
      <c r="E40" s="34">
        <f t="shared" si="0"/>
        <v>20</v>
      </c>
      <c r="F40" s="18">
        <f t="shared" si="1"/>
        <v>2.4700262316785806E-3</v>
      </c>
      <c r="G40" s="32" t="str">
        <f t="shared" si="2"/>
        <v>Yes</v>
      </c>
      <c r="H40" s="32" t="str">
        <f t="shared" si="3"/>
        <v xml:space="preserve"> </v>
      </c>
    </row>
    <row r="41" spans="1:8" ht="15" x14ac:dyDescent="0.25">
      <c r="A41" s="101" t="s">
        <v>224</v>
      </c>
      <c r="B41" s="102">
        <v>17</v>
      </c>
      <c r="C41" s="63"/>
      <c r="E41" s="34">
        <f t="shared" si="0"/>
        <v>17</v>
      </c>
      <c r="F41" s="18">
        <f t="shared" si="1"/>
        <v>2.0995222969267934E-3</v>
      </c>
      <c r="G41" s="32" t="str">
        <f t="shared" si="2"/>
        <v>Yes</v>
      </c>
      <c r="H41" s="14"/>
    </row>
    <row r="42" spans="1:8" ht="15" x14ac:dyDescent="0.25">
      <c r="A42" s="33"/>
      <c r="F42" s="15">
        <f>SUM(F2:F41)</f>
        <v>1</v>
      </c>
    </row>
  </sheetData>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80"/>
  <sheetViews>
    <sheetView topLeftCell="A51" workbookViewId="0">
      <selection activeCell="I80" sqref="I80"/>
    </sheetView>
  </sheetViews>
  <sheetFormatPr defaultColWidth="8.7109375" defaultRowHeight="12.75" x14ac:dyDescent="0.2"/>
  <cols>
    <col min="1" max="1" width="11.5703125" style="122" customWidth="1"/>
    <col min="2" max="3" width="15.28515625" style="34" customWidth="1"/>
    <col min="4" max="4" width="12.42578125" style="34" customWidth="1"/>
    <col min="5" max="5" width="12.7109375" style="34" customWidth="1"/>
    <col min="6" max="6" width="13.28515625" style="34" customWidth="1"/>
    <col min="7" max="7" width="13.7109375" style="34" customWidth="1"/>
    <col min="8" max="8" width="13.28515625" style="34" customWidth="1"/>
    <col min="9" max="9" width="12.42578125" style="122" customWidth="1"/>
    <col min="10" max="10" width="9.28515625" style="127" customWidth="1"/>
    <col min="11" max="11" width="6.7109375" style="122" customWidth="1"/>
    <col min="12" max="12" width="75.7109375" style="122" customWidth="1"/>
    <col min="13" max="13" width="12.28515625" style="122" bestFit="1" customWidth="1"/>
    <col min="14" max="16384" width="8.7109375" style="122"/>
  </cols>
  <sheetData>
    <row r="1" spans="1:14" ht="38.25" x14ac:dyDescent="0.2">
      <c r="A1" s="122" t="s">
        <v>226</v>
      </c>
      <c r="B1" s="23" t="s">
        <v>0</v>
      </c>
      <c r="C1" s="23" t="s">
        <v>1</v>
      </c>
      <c r="D1" s="8" t="s">
        <v>331</v>
      </c>
      <c r="E1" s="7" t="s">
        <v>330</v>
      </c>
      <c r="F1" s="7" t="s">
        <v>332</v>
      </c>
      <c r="G1" s="7" t="s">
        <v>407</v>
      </c>
      <c r="H1" s="7" t="s">
        <v>341</v>
      </c>
      <c r="I1" s="123" t="s">
        <v>334</v>
      </c>
      <c r="J1" s="124" t="s">
        <v>340</v>
      </c>
      <c r="K1" s="123" t="s">
        <v>338</v>
      </c>
      <c r="L1" s="123" t="s">
        <v>343</v>
      </c>
    </row>
    <row r="2" spans="1:14" x14ac:dyDescent="0.2">
      <c r="A2" s="122" t="s">
        <v>161</v>
      </c>
      <c r="B2" s="34">
        <v>10711083</v>
      </c>
      <c r="C2" s="34">
        <v>0</v>
      </c>
      <c r="D2" s="34">
        <f t="shared" ref="D2:D29" si="0">SUM(B2:C2)</f>
        <v>10711083</v>
      </c>
      <c r="E2" s="34">
        <f t="shared" ref="E2:E65" si="1">C2*-0.5</f>
        <v>0</v>
      </c>
      <c r="G2" s="28"/>
      <c r="H2" s="28">
        <v>-10711083</v>
      </c>
      <c r="I2" s="125">
        <f t="shared" ref="I2:I65" si="2">IF((VLOOKUP(A2,Crosswalk,2,FALSE)="Excluded"),0,(D2+E2+F2+G2+H2))</f>
        <v>0</v>
      </c>
      <c r="J2" s="40">
        <f>I2/(SUM($I$2:$I$80))</f>
        <v>0</v>
      </c>
      <c r="K2" s="122" t="str">
        <f t="shared" ref="K2:K61" si="3">IF(VLOOKUP(A2,Model,2,FALSE)&lt;&gt;"","Yes","No")</f>
        <v>Yes</v>
      </c>
      <c r="L2" s="122" t="str">
        <f t="shared" ref="L2:L61" si="4">IF((VLOOKUP(A2,Crosswalk,3,FALSE))=0," ",(VLOOKUP(A2,Crosswalk,3,FALSE)))</f>
        <v>100% Overhead</v>
      </c>
    </row>
    <row r="3" spans="1:14" x14ac:dyDescent="0.2">
      <c r="A3" s="122" t="s">
        <v>162</v>
      </c>
      <c r="B3" s="34">
        <v>7229803</v>
      </c>
      <c r="C3" s="34">
        <v>15238</v>
      </c>
      <c r="D3" s="34">
        <f t="shared" si="0"/>
        <v>7245041</v>
      </c>
      <c r="E3" s="34">
        <f t="shared" si="1"/>
        <v>-7619</v>
      </c>
      <c r="G3" s="28"/>
      <c r="H3" s="28">
        <f>-7237422+1468299+65963+210223</f>
        <v>-5492937</v>
      </c>
      <c r="I3" s="125">
        <f t="shared" si="2"/>
        <v>1744485</v>
      </c>
      <c r="J3" s="40">
        <f t="shared" ref="J3:J66" si="5">I3/(SUM($I$2:$I$80))</f>
        <v>1.6639485264256224E-3</v>
      </c>
      <c r="K3" s="122" t="str">
        <f t="shared" si="3"/>
        <v>Yes</v>
      </c>
      <c r="L3" s="122" t="str">
        <f t="shared" si="4"/>
        <v>Exclude IPR starting in FY 2017-18 actuals</v>
      </c>
      <c r="M3" s="122" t="s">
        <v>482</v>
      </c>
      <c r="N3" s="122">
        <f>1468299+65963+210223</f>
        <v>1744485</v>
      </c>
    </row>
    <row r="4" spans="1:14" x14ac:dyDescent="0.2">
      <c r="A4" s="122" t="s">
        <v>342</v>
      </c>
      <c r="B4" s="34">
        <v>2166344</v>
      </c>
      <c r="C4" s="34">
        <v>0</v>
      </c>
      <c r="D4" s="34">
        <f t="shared" si="0"/>
        <v>2166344</v>
      </c>
      <c r="E4" s="34">
        <f t="shared" si="1"/>
        <v>0</v>
      </c>
      <c r="G4" s="28"/>
      <c r="H4" s="28">
        <v>-2166344</v>
      </c>
      <c r="I4" s="125">
        <f t="shared" si="2"/>
        <v>0</v>
      </c>
      <c r="J4" s="40">
        <f t="shared" si="5"/>
        <v>0</v>
      </c>
      <c r="K4" s="122" t="str">
        <f t="shared" si="3"/>
        <v>Yes</v>
      </c>
      <c r="L4" s="122" t="str">
        <f t="shared" si="4"/>
        <v>100% Overhead</v>
      </c>
    </row>
    <row r="5" spans="1:14" x14ac:dyDescent="0.2">
      <c r="A5" s="122" t="s">
        <v>164</v>
      </c>
      <c r="B5" s="34">
        <v>1906822</v>
      </c>
      <c r="C5" s="34">
        <v>0</v>
      </c>
      <c r="D5" s="34">
        <f t="shared" si="0"/>
        <v>1906822</v>
      </c>
      <c r="E5" s="34">
        <f t="shared" si="1"/>
        <v>0</v>
      </c>
      <c r="G5" s="28"/>
      <c r="H5" s="28">
        <v>-1906822</v>
      </c>
      <c r="I5" s="125">
        <f t="shared" si="2"/>
        <v>0</v>
      </c>
      <c r="J5" s="40">
        <f t="shared" si="5"/>
        <v>0</v>
      </c>
      <c r="K5" s="122" t="str">
        <f t="shared" si="3"/>
        <v>Yes</v>
      </c>
      <c r="L5" s="122" t="str">
        <f t="shared" si="4"/>
        <v>100% Overhead</v>
      </c>
    </row>
    <row r="6" spans="1:14" x14ac:dyDescent="0.2">
      <c r="A6" s="122" t="s">
        <v>399</v>
      </c>
      <c r="B6" s="34">
        <v>-10</v>
      </c>
      <c r="C6" s="34">
        <v>0</v>
      </c>
      <c r="D6" s="34">
        <f t="shared" si="0"/>
        <v>-10</v>
      </c>
      <c r="E6" s="34">
        <f t="shared" si="1"/>
        <v>0</v>
      </c>
      <c r="G6" s="28"/>
      <c r="H6" s="28"/>
      <c r="I6" s="125">
        <f t="shared" si="2"/>
        <v>0</v>
      </c>
      <c r="J6" s="40">
        <f t="shared" si="5"/>
        <v>0</v>
      </c>
      <c r="K6" s="122" t="str">
        <f t="shared" si="3"/>
        <v>Yes</v>
      </c>
      <c r="L6" s="122" t="str">
        <f t="shared" si="4"/>
        <v xml:space="preserve"> </v>
      </c>
    </row>
    <row r="7" spans="1:14" x14ac:dyDescent="0.2">
      <c r="A7" s="122" t="s">
        <v>165</v>
      </c>
      <c r="B7" s="34">
        <v>107179571</v>
      </c>
      <c r="C7" s="34">
        <v>0</v>
      </c>
      <c r="D7" s="34">
        <f t="shared" si="0"/>
        <v>107179571</v>
      </c>
      <c r="E7" s="34">
        <f t="shared" si="1"/>
        <v>0</v>
      </c>
      <c r="G7" s="28"/>
      <c r="H7" s="28">
        <f>-128202-299</f>
        <v>-128501</v>
      </c>
      <c r="I7" s="125">
        <f t="shared" si="2"/>
        <v>107051070</v>
      </c>
      <c r="J7" s="40">
        <f t="shared" si="5"/>
        <v>0.10210891476784618</v>
      </c>
      <c r="K7" s="122" t="str">
        <f t="shared" si="3"/>
        <v>Yes</v>
      </c>
      <c r="L7" s="122" t="str">
        <f t="shared" si="4"/>
        <v>Exclude expenditures for emergency mgmt (FREO000004 Fund Center)</v>
      </c>
    </row>
    <row r="8" spans="1:14" x14ac:dyDescent="0.2">
      <c r="A8" s="122" t="s">
        <v>157</v>
      </c>
      <c r="B8" s="34">
        <v>1343268</v>
      </c>
      <c r="C8" s="34">
        <v>0</v>
      </c>
      <c r="D8" s="34">
        <f t="shared" si="0"/>
        <v>1343268</v>
      </c>
      <c r="E8" s="34">
        <f t="shared" si="1"/>
        <v>0</v>
      </c>
      <c r="G8" s="28"/>
      <c r="H8" s="28">
        <v>-1343268</v>
      </c>
      <c r="I8" s="125">
        <f t="shared" si="2"/>
        <v>0</v>
      </c>
      <c r="J8" s="40">
        <f t="shared" si="5"/>
        <v>0</v>
      </c>
      <c r="K8" s="122" t="str">
        <f t="shared" si="3"/>
        <v>Yes</v>
      </c>
      <c r="L8" s="122" t="str">
        <f t="shared" si="4"/>
        <v>100% Overhead</v>
      </c>
    </row>
    <row r="9" spans="1:14" x14ac:dyDescent="0.2">
      <c r="A9" s="122" t="s">
        <v>166</v>
      </c>
      <c r="B9" s="28">
        <v>26243043</v>
      </c>
      <c r="C9" s="28">
        <v>0</v>
      </c>
      <c r="D9" s="34">
        <f t="shared" si="0"/>
        <v>26243043</v>
      </c>
      <c r="E9" s="34">
        <f t="shared" si="1"/>
        <v>0</v>
      </c>
      <c r="G9" s="28"/>
      <c r="H9" s="28"/>
      <c r="I9" s="125">
        <f t="shared" si="2"/>
        <v>26243043</v>
      </c>
      <c r="J9" s="40">
        <f t="shared" si="5"/>
        <v>2.5031497965745907E-2</v>
      </c>
      <c r="K9" s="122" t="str">
        <f t="shared" si="3"/>
        <v>Yes</v>
      </c>
      <c r="L9" s="122" t="str">
        <f t="shared" si="4"/>
        <v xml:space="preserve"> </v>
      </c>
    </row>
    <row r="10" spans="1:14" s="139" customFormat="1" x14ac:dyDescent="0.2">
      <c r="A10" s="139" t="s">
        <v>159</v>
      </c>
      <c r="B10" s="28">
        <v>32055781</v>
      </c>
      <c r="C10" s="28">
        <v>133115</v>
      </c>
      <c r="D10" s="28">
        <f t="shared" si="0"/>
        <v>32188896</v>
      </c>
      <c r="E10" s="28">
        <f t="shared" si="1"/>
        <v>-66557.5</v>
      </c>
      <c r="F10" s="28"/>
      <c r="G10" s="28"/>
      <c r="H10" s="28">
        <v>-21838931</v>
      </c>
      <c r="I10" s="125">
        <f t="shared" si="2"/>
        <v>10283407.5</v>
      </c>
      <c r="J10" s="40">
        <f t="shared" si="5"/>
        <v>9.8086602958805565E-3</v>
      </c>
      <c r="K10" s="139" t="str">
        <f t="shared" si="3"/>
        <v>Yes</v>
      </c>
      <c r="L10" s="139" t="str">
        <f t="shared" si="4"/>
        <v>Exclude MFHR, MFDR, MFPU, MFOP, and MFFS cost centers. Beginning FY 18-19 need to also adjust for MFRB000002 functional area LACROPBAAR (accounts receiveable)</v>
      </c>
    </row>
    <row r="11" spans="1:14" x14ac:dyDescent="0.2">
      <c r="A11" s="122" t="s">
        <v>163</v>
      </c>
      <c r="B11" s="28">
        <v>2379052</v>
      </c>
      <c r="C11" s="34">
        <v>0</v>
      </c>
      <c r="D11" s="34">
        <f t="shared" si="0"/>
        <v>2379052</v>
      </c>
      <c r="E11" s="34">
        <f t="shared" si="1"/>
        <v>0</v>
      </c>
      <c r="G11" s="28"/>
      <c r="H11" s="28">
        <v>-2379052</v>
      </c>
      <c r="I11" s="125">
        <f t="shared" si="2"/>
        <v>0</v>
      </c>
      <c r="J11" s="40">
        <f t="shared" si="5"/>
        <v>0</v>
      </c>
      <c r="K11" s="122" t="str">
        <f t="shared" si="3"/>
        <v>Yes</v>
      </c>
      <c r="L11" s="122" t="str">
        <f t="shared" si="4"/>
        <v>Exclude expenditures for Admin &amp; Support (LAMYAS Functional Area), include only OYVP for positions</v>
      </c>
    </row>
    <row r="12" spans="1:14" x14ac:dyDescent="0.2">
      <c r="A12" s="122" t="s">
        <v>160</v>
      </c>
      <c r="B12" s="34">
        <v>9219751</v>
      </c>
      <c r="C12" s="34">
        <v>0</v>
      </c>
      <c r="D12" s="34">
        <f t="shared" si="0"/>
        <v>9219751</v>
      </c>
      <c r="E12" s="34">
        <f t="shared" si="1"/>
        <v>0</v>
      </c>
      <c r="G12" s="90"/>
      <c r="H12" s="28">
        <f>-(496211+3544+2562+103502)</f>
        <v>-605819</v>
      </c>
      <c r="I12" s="125">
        <f t="shared" si="2"/>
        <v>8613932</v>
      </c>
      <c r="J12" s="40">
        <f t="shared" si="5"/>
        <v>8.2162583559792796E-3</v>
      </c>
      <c r="K12" s="122" t="str">
        <f t="shared" si="3"/>
        <v>Yes</v>
      </c>
      <c r="L12" s="122" t="str">
        <f t="shared" si="4"/>
        <v>Exclude expenditures for Information &amp; Referral and Public Involvement best practices (CDIR - Info &amp; Rfrrl org unit for positions, CDNRNOPI - no positions)</v>
      </c>
    </row>
    <row r="13" spans="1:14" x14ac:dyDescent="0.2">
      <c r="A13" s="122" t="s">
        <v>316</v>
      </c>
      <c r="B13" s="34">
        <v>1413184</v>
      </c>
      <c r="C13" s="34">
        <v>0</v>
      </c>
      <c r="D13" s="34">
        <f t="shared" si="0"/>
        <v>1413184</v>
      </c>
      <c r="E13" s="34">
        <f t="shared" si="1"/>
        <v>0</v>
      </c>
      <c r="G13" s="28"/>
      <c r="H13" s="28">
        <f>-(0.595*(148286+24143+5126))-648093-17511-119742-782</f>
        <v>-891773.22499999998</v>
      </c>
      <c r="I13" s="125">
        <f t="shared" si="2"/>
        <v>521410.77500000002</v>
      </c>
      <c r="J13" s="40">
        <f t="shared" si="5"/>
        <v>4.9733915208424934E-4</v>
      </c>
      <c r="K13" s="122" t="str">
        <f t="shared" si="3"/>
        <v>Yes</v>
      </c>
      <c r="L13" s="122" t="str">
        <f t="shared" si="4"/>
        <v>Exclude expenditures for Citywide Equity, Civil Rights, and % admin (CDCE, CDCR &amp; portion CDAS) - use base budget for position allocations</v>
      </c>
    </row>
    <row r="14" spans="1:14" x14ac:dyDescent="0.2">
      <c r="A14" s="122" t="s">
        <v>152</v>
      </c>
      <c r="B14" s="34">
        <v>1776814</v>
      </c>
      <c r="C14" s="34">
        <v>0</v>
      </c>
      <c r="D14" s="34">
        <f t="shared" si="0"/>
        <v>1776814</v>
      </c>
      <c r="E14" s="34">
        <f t="shared" si="1"/>
        <v>0</v>
      </c>
      <c r="G14" s="28"/>
      <c r="H14" s="28">
        <f>-(854816+11507)</f>
        <v>-866323</v>
      </c>
      <c r="I14" s="125">
        <f t="shared" si="2"/>
        <v>910491</v>
      </c>
      <c r="J14" s="40">
        <f t="shared" si="5"/>
        <v>8.6845697026560352E-4</v>
      </c>
      <c r="K14" s="122" t="str">
        <f t="shared" si="3"/>
        <v>Yes</v>
      </c>
      <c r="L14" s="122" t="str">
        <f t="shared" si="4"/>
        <v>Exclude Commissioner's Office (PACO000001)</v>
      </c>
    </row>
    <row r="15" spans="1:14" x14ac:dyDescent="0.2">
      <c r="A15" s="122" t="s">
        <v>167</v>
      </c>
      <c r="B15" s="34">
        <v>73329734</v>
      </c>
      <c r="C15" s="34">
        <v>223841</v>
      </c>
      <c r="D15" s="34">
        <f t="shared" si="0"/>
        <v>73553575</v>
      </c>
      <c r="E15" s="34">
        <f t="shared" si="1"/>
        <v>-111920.5</v>
      </c>
      <c r="G15" s="28"/>
      <c r="H15" s="28"/>
      <c r="I15" s="125">
        <f t="shared" si="2"/>
        <v>73441654.5</v>
      </c>
      <c r="J15" s="40">
        <f t="shared" si="5"/>
        <v>7.0051122700129087E-2</v>
      </c>
      <c r="K15" s="122" t="str">
        <f t="shared" si="3"/>
        <v>Yes</v>
      </c>
      <c r="L15" s="122" t="str">
        <f t="shared" si="4"/>
        <v xml:space="preserve"> </v>
      </c>
    </row>
    <row r="16" spans="1:14" x14ac:dyDescent="0.2">
      <c r="A16" s="122" t="s">
        <v>168</v>
      </c>
      <c r="B16" s="34">
        <v>159699345</v>
      </c>
      <c r="C16" s="34">
        <v>243058</v>
      </c>
      <c r="D16" s="34">
        <f t="shared" si="0"/>
        <v>159942403</v>
      </c>
      <c r="E16" s="34">
        <f t="shared" si="1"/>
        <v>-121529</v>
      </c>
      <c r="G16" s="28"/>
      <c r="H16" s="28"/>
      <c r="I16" s="125">
        <f t="shared" si="2"/>
        <v>159820874</v>
      </c>
      <c r="J16" s="40">
        <f t="shared" si="5"/>
        <v>0.15244253047997264</v>
      </c>
      <c r="K16" s="122" t="str">
        <f t="shared" si="3"/>
        <v>Yes</v>
      </c>
      <c r="L16" s="122" t="str">
        <f t="shared" si="4"/>
        <v xml:space="preserve"> </v>
      </c>
    </row>
    <row r="17" spans="1:12" x14ac:dyDescent="0.2">
      <c r="A17" s="122" t="s">
        <v>151</v>
      </c>
      <c r="B17" s="34">
        <v>8713160</v>
      </c>
      <c r="C17" s="34">
        <v>0</v>
      </c>
      <c r="D17" s="34">
        <f t="shared" si="0"/>
        <v>8713160</v>
      </c>
      <c r="E17" s="34">
        <f t="shared" si="1"/>
        <v>0</v>
      </c>
      <c r="G17" s="28"/>
      <c r="H17" s="28">
        <f>-(813961+168425+1203)-(0.5*(742913+12757))</f>
        <v>-1361424</v>
      </c>
      <c r="I17" s="125">
        <f t="shared" si="2"/>
        <v>7351736</v>
      </c>
      <c r="J17" s="40">
        <f t="shared" si="5"/>
        <v>7.0123333154886395E-3</v>
      </c>
      <c r="K17" s="122" t="str">
        <f t="shared" si="3"/>
        <v>Yes</v>
      </c>
      <c r="L17" s="122" t="str">
        <f t="shared" si="4"/>
        <v>Exclude expenditures for Comp Planning &amp; 1/2 of district liaisons (CDAPDI - Dist Plan org unit for positions, CDCPCM - use base budget for positions)</v>
      </c>
    </row>
    <row r="18" spans="1:12" x14ac:dyDescent="0.2">
      <c r="A18" s="122" t="s">
        <v>153</v>
      </c>
      <c r="B18" s="34">
        <v>809355</v>
      </c>
      <c r="C18" s="34">
        <v>0</v>
      </c>
      <c r="D18" s="34">
        <f t="shared" si="0"/>
        <v>809355</v>
      </c>
      <c r="E18" s="34">
        <f t="shared" si="1"/>
        <v>0</v>
      </c>
      <c r="G18" s="28"/>
      <c r="H18" s="28">
        <v>-809355</v>
      </c>
      <c r="I18" s="125">
        <f t="shared" si="2"/>
        <v>0</v>
      </c>
      <c r="J18" s="40">
        <f t="shared" si="5"/>
        <v>0</v>
      </c>
      <c r="K18" s="122" t="str">
        <f t="shared" si="3"/>
        <v>Yes</v>
      </c>
      <c r="L18" s="122" t="str">
        <f t="shared" si="4"/>
        <v>100% Overhead</v>
      </c>
    </row>
    <row r="19" spans="1:12" x14ac:dyDescent="0.2">
      <c r="A19" s="122" t="s">
        <v>154</v>
      </c>
      <c r="B19" s="34">
        <v>756513</v>
      </c>
      <c r="C19" s="34">
        <v>0</v>
      </c>
      <c r="D19" s="34">
        <f t="shared" si="0"/>
        <v>756513</v>
      </c>
      <c r="E19" s="34">
        <f t="shared" si="1"/>
        <v>0</v>
      </c>
      <c r="G19" s="28"/>
      <c r="H19" s="28">
        <v>-756513</v>
      </c>
      <c r="I19" s="125">
        <f t="shared" si="2"/>
        <v>0</v>
      </c>
      <c r="J19" s="40">
        <f t="shared" si="5"/>
        <v>0</v>
      </c>
      <c r="K19" s="122" t="str">
        <f t="shared" si="3"/>
        <v>Yes</v>
      </c>
      <c r="L19" s="122" t="str">
        <f t="shared" si="4"/>
        <v>100% Overhead</v>
      </c>
    </row>
    <row r="20" spans="1:12" x14ac:dyDescent="0.2">
      <c r="A20" s="122" t="s">
        <v>155</v>
      </c>
      <c r="B20" s="28">
        <v>787865</v>
      </c>
      <c r="C20" s="34">
        <v>0</v>
      </c>
      <c r="D20" s="34">
        <f t="shared" si="0"/>
        <v>787865</v>
      </c>
      <c r="E20" s="34">
        <f t="shared" si="1"/>
        <v>0</v>
      </c>
      <c r="G20" s="28"/>
      <c r="H20" s="28">
        <v>-787865</v>
      </c>
      <c r="I20" s="125">
        <f t="shared" si="2"/>
        <v>0</v>
      </c>
      <c r="J20" s="40">
        <f t="shared" si="5"/>
        <v>0</v>
      </c>
      <c r="K20" s="122" t="str">
        <f t="shared" si="3"/>
        <v>Yes</v>
      </c>
      <c r="L20" s="122" t="str">
        <f t="shared" si="4"/>
        <v>100% Overhead</v>
      </c>
    </row>
    <row r="21" spans="1:12" x14ac:dyDescent="0.2">
      <c r="A21" s="122" t="s">
        <v>169</v>
      </c>
      <c r="B21" s="34">
        <v>10568428</v>
      </c>
      <c r="C21" s="34">
        <v>0</v>
      </c>
      <c r="D21" s="34">
        <f t="shared" si="0"/>
        <v>10568428</v>
      </c>
      <c r="E21" s="34">
        <f t="shared" si="1"/>
        <v>0</v>
      </c>
      <c r="G21" s="28"/>
      <c r="H21" s="28">
        <v>-291491</v>
      </c>
      <c r="I21" s="125">
        <f t="shared" si="2"/>
        <v>10276937</v>
      </c>
      <c r="J21" s="40">
        <f t="shared" si="5"/>
        <v>9.8024885151313749E-3</v>
      </c>
      <c r="K21" s="122" t="str">
        <f t="shared" si="3"/>
        <v>Yes</v>
      </c>
      <c r="L21" s="122" t="str">
        <f t="shared" si="4"/>
        <v>Exclude expenditures for City memberships and dues (MFSA000002)</v>
      </c>
    </row>
    <row r="22" spans="1:12" x14ac:dyDescent="0.2">
      <c r="A22" s="122" t="s">
        <v>318</v>
      </c>
      <c r="B22" s="34">
        <v>5730107</v>
      </c>
      <c r="C22" s="34">
        <v>0</v>
      </c>
      <c r="D22" s="34">
        <f t="shared" si="0"/>
        <v>5730107</v>
      </c>
      <c r="E22" s="34">
        <f t="shared" si="1"/>
        <v>0</v>
      </c>
      <c r="G22" s="28"/>
      <c r="H22" s="28"/>
      <c r="I22" s="125">
        <f t="shared" si="2"/>
        <v>5730107</v>
      </c>
      <c r="J22" s="40">
        <f t="shared" si="5"/>
        <v>5.4655689781861949E-3</v>
      </c>
      <c r="K22" s="122" t="str">
        <f t="shared" si="3"/>
        <v>Yes</v>
      </c>
      <c r="L22" s="122" t="str">
        <f t="shared" si="4"/>
        <v xml:space="preserve"> </v>
      </c>
    </row>
    <row r="23" spans="1:12" x14ac:dyDescent="0.2">
      <c r="A23" s="122" t="s">
        <v>170</v>
      </c>
      <c r="B23" s="34">
        <v>116450123</v>
      </c>
      <c r="C23" s="34">
        <v>34974032</v>
      </c>
      <c r="D23" s="34">
        <f t="shared" si="0"/>
        <v>151424155</v>
      </c>
      <c r="E23" s="34">
        <f t="shared" si="1"/>
        <v>-17487016</v>
      </c>
      <c r="F23" s="28"/>
      <c r="G23" s="28"/>
      <c r="H23" s="28"/>
      <c r="I23" s="125">
        <f t="shared" si="2"/>
        <v>133937139</v>
      </c>
      <c r="J23" s="40">
        <f t="shared" si="5"/>
        <v>0.12775375258183003</v>
      </c>
      <c r="K23" s="122" t="str">
        <f t="shared" si="3"/>
        <v>Yes</v>
      </c>
      <c r="L23" s="122" t="str">
        <f t="shared" si="4"/>
        <v xml:space="preserve"> </v>
      </c>
    </row>
    <row r="24" spans="1:12" x14ac:dyDescent="0.2">
      <c r="A24" s="122" t="s">
        <v>171</v>
      </c>
      <c r="B24" s="34">
        <v>16492515</v>
      </c>
      <c r="C24" s="34">
        <v>27108</v>
      </c>
      <c r="D24" s="34">
        <f t="shared" si="0"/>
        <v>16519623</v>
      </c>
      <c r="E24" s="34">
        <f t="shared" si="1"/>
        <v>-13554</v>
      </c>
      <c r="G24" s="28"/>
      <c r="H24" s="28"/>
      <c r="I24" s="125">
        <f t="shared" si="2"/>
        <v>16506069</v>
      </c>
      <c r="J24" s="40">
        <f t="shared" si="5"/>
        <v>1.5744044339521205E-2</v>
      </c>
      <c r="K24" s="122" t="str">
        <f t="shared" si="3"/>
        <v>Yes</v>
      </c>
      <c r="L24" s="122" t="str">
        <f t="shared" si="4"/>
        <v xml:space="preserve"> </v>
      </c>
    </row>
    <row r="25" spans="1:12" x14ac:dyDescent="0.2">
      <c r="A25" s="122" t="s">
        <v>173</v>
      </c>
      <c r="B25" s="34">
        <v>42155223</v>
      </c>
      <c r="C25" s="34">
        <v>918507</v>
      </c>
      <c r="D25" s="34">
        <f t="shared" si="0"/>
        <v>43073730</v>
      </c>
      <c r="E25" s="34">
        <f t="shared" si="1"/>
        <v>-459253.5</v>
      </c>
      <c r="G25" s="28"/>
      <c r="H25" s="28"/>
      <c r="I25" s="125">
        <f t="shared" si="2"/>
        <v>42614476.5</v>
      </c>
      <c r="J25" s="40">
        <f t="shared" si="5"/>
        <v>4.064712243245102E-2</v>
      </c>
      <c r="K25" s="122" t="str">
        <f t="shared" si="3"/>
        <v>Yes</v>
      </c>
      <c r="L25" s="122" t="str">
        <f t="shared" si="4"/>
        <v xml:space="preserve"> </v>
      </c>
    </row>
    <row r="26" spans="1:12" x14ac:dyDescent="0.2">
      <c r="A26" s="122" t="s">
        <v>174</v>
      </c>
      <c r="B26" s="34">
        <v>5207674</v>
      </c>
      <c r="C26" s="34">
        <v>0</v>
      </c>
      <c r="D26" s="34">
        <f t="shared" si="0"/>
        <v>5207674</v>
      </c>
      <c r="E26" s="34">
        <f t="shared" si="1"/>
        <v>0</v>
      </c>
      <c r="F26" s="28"/>
      <c r="G26" s="28">
        <v>-5207674</v>
      </c>
      <c r="H26" s="28"/>
      <c r="I26" s="125">
        <f t="shared" si="2"/>
        <v>0</v>
      </c>
      <c r="J26" s="40">
        <f t="shared" si="5"/>
        <v>0</v>
      </c>
      <c r="K26" s="122" t="str">
        <f t="shared" si="3"/>
        <v>Yes</v>
      </c>
      <c r="L26" s="122" t="str">
        <f t="shared" si="4"/>
        <v>Fixed at $25,000 (hardcoded in Model)</v>
      </c>
    </row>
    <row r="27" spans="1:12" x14ac:dyDescent="0.2">
      <c r="A27" s="122" t="s">
        <v>176</v>
      </c>
      <c r="B27" s="34">
        <v>17601273</v>
      </c>
      <c r="C27" s="34">
        <v>0</v>
      </c>
      <c r="D27" s="34">
        <f t="shared" si="0"/>
        <v>17601273</v>
      </c>
      <c r="E27" s="34">
        <f t="shared" si="1"/>
        <v>0</v>
      </c>
      <c r="F27" s="28"/>
      <c r="G27" s="28">
        <v>-17601273</v>
      </c>
      <c r="H27" s="28"/>
      <c r="I27" s="125">
        <f t="shared" si="2"/>
        <v>0</v>
      </c>
      <c r="J27" s="40">
        <f t="shared" si="5"/>
        <v>0</v>
      </c>
      <c r="K27" s="122" t="str">
        <f t="shared" si="3"/>
        <v>Yes</v>
      </c>
      <c r="L27" s="122" t="str">
        <f t="shared" si="4"/>
        <v>Fixed at $25,000 (hardcoded in Model)</v>
      </c>
    </row>
    <row r="28" spans="1:12" x14ac:dyDescent="0.2">
      <c r="A28" s="122" t="s">
        <v>177</v>
      </c>
      <c r="B28" s="34">
        <v>107311616</v>
      </c>
      <c r="C28" s="34">
        <v>0</v>
      </c>
      <c r="D28" s="34">
        <f t="shared" si="0"/>
        <v>107311616</v>
      </c>
      <c r="E28" s="34">
        <f t="shared" si="1"/>
        <v>0</v>
      </c>
      <c r="F28" s="28"/>
      <c r="G28" s="28"/>
      <c r="H28" s="28"/>
      <c r="I28" s="125">
        <f t="shared" si="2"/>
        <v>0</v>
      </c>
      <c r="J28" s="40">
        <f t="shared" si="5"/>
        <v>0</v>
      </c>
      <c r="K28" s="122" t="str">
        <f t="shared" si="3"/>
        <v>Yes</v>
      </c>
      <c r="L28" s="122" t="str">
        <f t="shared" si="4"/>
        <v xml:space="preserve"> </v>
      </c>
    </row>
    <row r="29" spans="1:12" x14ac:dyDescent="0.2">
      <c r="A29" s="122" t="s">
        <v>178</v>
      </c>
      <c r="B29" s="34">
        <v>3291020</v>
      </c>
      <c r="C29" s="34">
        <v>8923</v>
      </c>
      <c r="D29" s="34">
        <f t="shared" si="0"/>
        <v>3299943</v>
      </c>
      <c r="E29" s="34">
        <f t="shared" si="1"/>
        <v>-4461.5</v>
      </c>
      <c r="G29" s="28">
        <f>-(0.5*(3753+2033559))</f>
        <v>-1018656</v>
      </c>
      <c r="H29" s="28"/>
      <c r="I29" s="125">
        <f t="shared" si="2"/>
        <v>2276825.5</v>
      </c>
      <c r="J29" s="40">
        <f t="shared" si="5"/>
        <v>2.1717128181975086E-3</v>
      </c>
      <c r="K29" s="122" t="str">
        <f t="shared" si="3"/>
        <v>Yes</v>
      </c>
      <c r="L29" s="122" t="str">
        <f t="shared" si="4"/>
        <v>50% discount for operating projects</v>
      </c>
    </row>
    <row r="30" spans="1:12" x14ac:dyDescent="0.2">
      <c r="A30" s="122" t="s">
        <v>181</v>
      </c>
      <c r="B30" s="34">
        <v>15200508</v>
      </c>
      <c r="C30" s="34">
        <v>0</v>
      </c>
      <c r="D30" s="34">
        <f t="shared" ref="D30:D65" si="6">SUM(B30:C30)</f>
        <v>15200508</v>
      </c>
      <c r="E30" s="34">
        <f t="shared" si="1"/>
        <v>0</v>
      </c>
      <c r="G30" s="28">
        <v>-15200508</v>
      </c>
      <c r="H30" s="28"/>
      <c r="I30" s="125">
        <f t="shared" si="2"/>
        <v>0</v>
      </c>
      <c r="J30" s="40">
        <f t="shared" si="5"/>
        <v>0</v>
      </c>
      <c r="K30" s="122" t="str">
        <f t="shared" si="3"/>
        <v>Yes</v>
      </c>
      <c r="L30" s="122" t="str">
        <f t="shared" si="4"/>
        <v>Fixed at $25,000 (hardcoded in Model)</v>
      </c>
    </row>
    <row r="31" spans="1:12" x14ac:dyDescent="0.2">
      <c r="A31" s="122" t="s">
        <v>319</v>
      </c>
      <c r="B31" s="34">
        <v>-3768</v>
      </c>
      <c r="C31" s="34">
        <v>0</v>
      </c>
      <c r="D31" s="34">
        <f t="shared" si="6"/>
        <v>-3768</v>
      </c>
      <c r="E31" s="34">
        <f t="shared" si="1"/>
        <v>0</v>
      </c>
      <c r="G31" s="28"/>
      <c r="H31" s="28"/>
      <c r="I31" s="125">
        <f t="shared" si="2"/>
        <v>-3768</v>
      </c>
      <c r="J31" s="40">
        <f t="shared" si="5"/>
        <v>-3.5940452612500225E-6</v>
      </c>
      <c r="K31" s="122" t="str">
        <f t="shared" si="3"/>
        <v>Yes</v>
      </c>
      <c r="L31" s="122" t="str">
        <f t="shared" si="4"/>
        <v xml:space="preserve"> </v>
      </c>
    </row>
    <row r="32" spans="1:12" x14ac:dyDescent="0.2">
      <c r="A32" s="122" t="s">
        <v>187</v>
      </c>
      <c r="B32" s="34">
        <v>1507507</v>
      </c>
      <c r="C32" s="34">
        <v>0</v>
      </c>
      <c r="D32" s="34">
        <f t="shared" si="6"/>
        <v>1507507</v>
      </c>
      <c r="E32" s="34">
        <f t="shared" si="1"/>
        <v>0</v>
      </c>
      <c r="G32" s="28"/>
      <c r="H32" s="28"/>
      <c r="I32" s="125">
        <f t="shared" si="2"/>
        <v>1507507</v>
      </c>
      <c r="J32" s="40">
        <f t="shared" si="5"/>
        <v>1.4379109314361033E-3</v>
      </c>
      <c r="K32" s="122" t="str">
        <f t="shared" si="3"/>
        <v>Yes</v>
      </c>
      <c r="L32" s="122" t="str">
        <f t="shared" si="4"/>
        <v xml:space="preserve"> </v>
      </c>
    </row>
    <row r="33" spans="1:12" x14ac:dyDescent="0.2">
      <c r="A33" s="122" t="s">
        <v>183</v>
      </c>
      <c r="B33" s="34">
        <v>98389</v>
      </c>
      <c r="C33" s="34">
        <v>85608</v>
      </c>
      <c r="D33" s="34">
        <f t="shared" si="6"/>
        <v>183997</v>
      </c>
      <c r="E33" s="34">
        <f t="shared" si="1"/>
        <v>-42804</v>
      </c>
      <c r="G33" s="28"/>
      <c r="H33" s="28"/>
      <c r="I33" s="125">
        <f t="shared" si="2"/>
        <v>141193</v>
      </c>
      <c r="J33" s="40">
        <f t="shared" si="5"/>
        <v>1.3467463709439343E-4</v>
      </c>
      <c r="K33" s="122" t="str">
        <f t="shared" si="3"/>
        <v>Yes</v>
      </c>
      <c r="L33" s="122" t="str">
        <f t="shared" si="4"/>
        <v xml:space="preserve"> </v>
      </c>
    </row>
    <row r="34" spans="1:12" x14ac:dyDescent="0.2">
      <c r="A34" s="122" t="s">
        <v>190</v>
      </c>
      <c r="B34" s="34">
        <v>-5447</v>
      </c>
      <c r="C34" s="34">
        <v>0</v>
      </c>
      <c r="D34" s="34">
        <f t="shared" si="6"/>
        <v>-5447</v>
      </c>
      <c r="E34" s="34">
        <f t="shared" si="1"/>
        <v>0</v>
      </c>
      <c r="G34" s="28"/>
      <c r="H34" s="28"/>
      <c r="I34" s="125">
        <f t="shared" si="2"/>
        <v>-5447</v>
      </c>
      <c r="J34" s="40">
        <f t="shared" si="5"/>
        <v>-5.1955319899227369E-6</v>
      </c>
      <c r="K34" s="122" t="str">
        <f t="shared" si="3"/>
        <v>Yes</v>
      </c>
      <c r="L34" s="122" t="str">
        <f t="shared" si="4"/>
        <v xml:space="preserve"> </v>
      </c>
    </row>
    <row r="35" spans="1:12" x14ac:dyDescent="0.2">
      <c r="A35" s="122" t="s">
        <v>191</v>
      </c>
      <c r="B35" s="34">
        <v>2799387</v>
      </c>
      <c r="C35" s="34">
        <v>0</v>
      </c>
      <c r="D35" s="34">
        <f t="shared" si="6"/>
        <v>2799387</v>
      </c>
      <c r="E35" s="34">
        <f t="shared" si="1"/>
        <v>0</v>
      </c>
      <c r="G35" s="28"/>
      <c r="H35" s="28"/>
      <c r="I35" s="125">
        <f t="shared" si="2"/>
        <v>2799387</v>
      </c>
      <c r="J35" s="40">
        <f t="shared" si="5"/>
        <v>2.6701495705294363E-3</v>
      </c>
      <c r="K35" s="122" t="str">
        <f t="shared" si="3"/>
        <v>Yes</v>
      </c>
      <c r="L35" s="122" t="str">
        <f t="shared" si="4"/>
        <v xml:space="preserve"> </v>
      </c>
    </row>
    <row r="36" spans="1:12" x14ac:dyDescent="0.2">
      <c r="A36" s="122" t="s">
        <v>321</v>
      </c>
      <c r="B36" s="34">
        <v>27310</v>
      </c>
      <c r="C36" s="34">
        <v>0</v>
      </c>
      <c r="D36" s="34">
        <f t="shared" si="6"/>
        <v>27310</v>
      </c>
      <c r="E36" s="34">
        <f t="shared" si="1"/>
        <v>0</v>
      </c>
      <c r="G36" s="28"/>
      <c r="H36" s="28"/>
      <c r="I36" s="125">
        <f t="shared" si="2"/>
        <v>27310</v>
      </c>
      <c r="J36" s="40">
        <f t="shared" si="5"/>
        <v>2.6049197474718182E-5</v>
      </c>
      <c r="K36" s="122" t="str">
        <f t="shared" si="3"/>
        <v>Yes</v>
      </c>
      <c r="L36" s="122" t="str">
        <f t="shared" si="4"/>
        <v xml:space="preserve"> </v>
      </c>
    </row>
    <row r="37" spans="1:12" x14ac:dyDescent="0.2">
      <c r="A37" s="122" t="s">
        <v>192</v>
      </c>
      <c r="B37" s="34">
        <v>269522</v>
      </c>
      <c r="C37" s="34">
        <v>1025048</v>
      </c>
      <c r="D37" s="34">
        <f t="shared" si="6"/>
        <v>1294570</v>
      </c>
      <c r="E37" s="34">
        <f t="shared" si="1"/>
        <v>-512524</v>
      </c>
      <c r="G37" s="28"/>
      <c r="H37" s="28"/>
      <c r="I37" s="125">
        <f t="shared" si="2"/>
        <v>782046</v>
      </c>
      <c r="J37" s="40">
        <f t="shared" si="5"/>
        <v>7.4594180477163883E-4</v>
      </c>
      <c r="K37" s="122" t="str">
        <f t="shared" si="3"/>
        <v>Yes</v>
      </c>
      <c r="L37" s="122" t="str">
        <f t="shared" si="4"/>
        <v xml:space="preserve"> </v>
      </c>
    </row>
    <row r="38" spans="1:12" x14ac:dyDescent="0.2">
      <c r="A38" s="122" t="s">
        <v>193</v>
      </c>
      <c r="B38" s="34">
        <v>1866234</v>
      </c>
      <c r="C38" s="34">
        <v>51005</v>
      </c>
      <c r="D38" s="34">
        <f t="shared" si="6"/>
        <v>1917239</v>
      </c>
      <c r="E38" s="34">
        <f t="shared" si="1"/>
        <v>-25502.5</v>
      </c>
      <c r="G38" s="28"/>
      <c r="H38" s="28"/>
      <c r="I38" s="125">
        <f t="shared" si="2"/>
        <v>1891736.5</v>
      </c>
      <c r="J38" s="40">
        <f t="shared" si="5"/>
        <v>1.8044019647979572E-3</v>
      </c>
      <c r="K38" s="122" t="str">
        <f t="shared" si="3"/>
        <v>Yes</v>
      </c>
    </row>
    <row r="39" spans="1:12" x14ac:dyDescent="0.2">
      <c r="A39" s="122" t="s">
        <v>184</v>
      </c>
      <c r="B39" s="34">
        <v>1594988</v>
      </c>
      <c r="C39" s="34">
        <v>0</v>
      </c>
      <c r="D39" s="34">
        <f t="shared" si="6"/>
        <v>1594988</v>
      </c>
      <c r="E39" s="34">
        <f t="shared" si="1"/>
        <v>0</v>
      </c>
      <c r="G39" s="28"/>
      <c r="H39" s="28"/>
      <c r="I39" s="125">
        <f t="shared" si="2"/>
        <v>1594988</v>
      </c>
      <c r="J39" s="40">
        <f t="shared" si="5"/>
        <v>1.5213532545516589E-3</v>
      </c>
      <c r="K39" s="122" t="str">
        <f t="shared" si="3"/>
        <v>Yes</v>
      </c>
      <c r="L39" s="122" t="str">
        <f t="shared" si="4"/>
        <v xml:space="preserve"> </v>
      </c>
    </row>
    <row r="40" spans="1:12" x14ac:dyDescent="0.2">
      <c r="A40" s="122" t="s">
        <v>188</v>
      </c>
      <c r="B40" s="34">
        <v>221239</v>
      </c>
      <c r="C40" s="34">
        <v>6163379</v>
      </c>
      <c r="D40" s="34">
        <f t="shared" si="6"/>
        <v>6384618</v>
      </c>
      <c r="E40" s="34">
        <f t="shared" si="1"/>
        <v>-3081689.5</v>
      </c>
      <c r="G40" s="28"/>
      <c r="H40" s="28"/>
      <c r="I40" s="125">
        <f t="shared" si="2"/>
        <v>3302928.5</v>
      </c>
      <c r="J40" s="40">
        <f t="shared" si="5"/>
        <v>3.150444406494863E-3</v>
      </c>
      <c r="K40" s="122" t="str">
        <f t="shared" si="3"/>
        <v>Yes</v>
      </c>
      <c r="L40" s="122" t="str">
        <f t="shared" si="4"/>
        <v xml:space="preserve"> </v>
      </c>
    </row>
    <row r="41" spans="1:12" x14ac:dyDescent="0.2">
      <c r="A41" s="122" t="s">
        <v>194</v>
      </c>
      <c r="B41" s="34">
        <v>0</v>
      </c>
      <c r="C41" s="34">
        <v>24473</v>
      </c>
      <c r="D41" s="34">
        <f t="shared" si="6"/>
        <v>24473</v>
      </c>
      <c r="E41" s="34">
        <f t="shared" si="1"/>
        <v>-12236.5</v>
      </c>
      <c r="G41" s="28"/>
      <c r="H41" s="28"/>
      <c r="I41" s="125">
        <f t="shared" si="2"/>
        <v>12236.5</v>
      </c>
      <c r="J41" s="40">
        <f t="shared" si="5"/>
        <v>1.1671585679216002E-5</v>
      </c>
      <c r="K41" s="122" t="str">
        <f t="shared" si="3"/>
        <v>Yes</v>
      </c>
      <c r="L41" s="122" t="str">
        <f t="shared" si="4"/>
        <v xml:space="preserve"> </v>
      </c>
    </row>
    <row r="42" spans="1:12" x14ac:dyDescent="0.2">
      <c r="A42" s="122" t="s">
        <v>195</v>
      </c>
      <c r="B42" s="34">
        <v>7638639</v>
      </c>
      <c r="C42" s="34">
        <v>0</v>
      </c>
      <c r="D42" s="34">
        <f t="shared" si="6"/>
        <v>7638639</v>
      </c>
      <c r="E42" s="34">
        <f t="shared" si="1"/>
        <v>0</v>
      </c>
      <c r="G42" s="28"/>
      <c r="H42" s="28"/>
      <c r="I42" s="125">
        <f t="shared" si="2"/>
        <v>7638639</v>
      </c>
      <c r="J42" s="40">
        <f t="shared" si="5"/>
        <v>7.2859910563560538E-3</v>
      </c>
      <c r="K42" s="122" t="str">
        <f t="shared" si="3"/>
        <v>Yes</v>
      </c>
      <c r="L42" s="122" t="str">
        <f t="shared" si="4"/>
        <v xml:space="preserve"> </v>
      </c>
    </row>
    <row r="43" spans="1:12" x14ac:dyDescent="0.2">
      <c r="A43" s="122" t="s">
        <v>196</v>
      </c>
      <c r="B43" s="34">
        <v>4363490</v>
      </c>
      <c r="C43" s="34">
        <v>0</v>
      </c>
      <c r="D43" s="34">
        <f t="shared" si="6"/>
        <v>4363490</v>
      </c>
      <c r="E43" s="34">
        <f t="shared" si="1"/>
        <v>0</v>
      </c>
      <c r="G43" s="28"/>
      <c r="H43" s="28"/>
      <c r="I43" s="125">
        <f t="shared" si="2"/>
        <v>4363490</v>
      </c>
      <c r="J43" s="40">
        <f t="shared" si="5"/>
        <v>4.1620436722430623E-3</v>
      </c>
      <c r="K43" s="122" t="str">
        <f t="shared" si="3"/>
        <v>Yes</v>
      </c>
      <c r="L43" s="122" t="str">
        <f t="shared" si="4"/>
        <v xml:space="preserve"> </v>
      </c>
    </row>
    <row r="44" spans="1:12" x14ac:dyDescent="0.2">
      <c r="A44" s="122" t="s">
        <v>197</v>
      </c>
      <c r="B44" s="34">
        <v>1099168</v>
      </c>
      <c r="C44" s="34">
        <v>0</v>
      </c>
      <c r="D44" s="34">
        <f t="shared" si="6"/>
        <v>1099168</v>
      </c>
      <c r="E44" s="34">
        <f t="shared" si="1"/>
        <v>0</v>
      </c>
      <c r="G44" s="28"/>
      <c r="H44" s="28"/>
      <c r="I44" s="125">
        <f t="shared" si="2"/>
        <v>0</v>
      </c>
      <c r="J44" s="40">
        <f t="shared" si="5"/>
        <v>0</v>
      </c>
      <c r="K44" s="122" t="str">
        <f t="shared" si="3"/>
        <v>Yes</v>
      </c>
      <c r="L44" s="122" t="str">
        <f t="shared" si="4"/>
        <v xml:space="preserve"> </v>
      </c>
    </row>
    <row r="45" spans="1:12" s="139" customFormat="1" x14ac:dyDescent="0.2">
      <c r="A45" s="139" t="s">
        <v>198</v>
      </c>
      <c r="B45" s="28">
        <v>43869909</v>
      </c>
      <c r="C45" s="28">
        <v>5294474</v>
      </c>
      <c r="D45" s="28">
        <f t="shared" si="6"/>
        <v>49164383</v>
      </c>
      <c r="E45" s="28">
        <f t="shared" si="1"/>
        <v>-2647237</v>
      </c>
      <c r="F45" s="28"/>
      <c r="G45" s="28">
        <f>-(0.5*(415498+24708346+16505341))</f>
        <v>-20814592.5</v>
      </c>
      <c r="H45" s="28"/>
      <c r="I45" s="125">
        <f t="shared" si="2"/>
        <v>25702553.5</v>
      </c>
      <c r="J45" s="40">
        <f t="shared" si="5"/>
        <v>2.4515960883412999E-2</v>
      </c>
      <c r="K45" s="139" t="str">
        <f t="shared" si="3"/>
        <v>Yes</v>
      </c>
      <c r="L45" s="139" t="str">
        <f t="shared" si="4"/>
        <v>50% discount for operating projects</v>
      </c>
    </row>
    <row r="46" spans="1:12" x14ac:dyDescent="0.2">
      <c r="A46" s="122" t="s">
        <v>199</v>
      </c>
      <c r="B46" s="34">
        <v>1131553</v>
      </c>
      <c r="C46" s="34">
        <v>88200</v>
      </c>
      <c r="D46" s="34">
        <f t="shared" si="6"/>
        <v>1219753</v>
      </c>
      <c r="E46" s="34">
        <f t="shared" si="1"/>
        <v>-44100</v>
      </c>
      <c r="G46" s="28"/>
      <c r="H46" s="28"/>
      <c r="I46" s="125">
        <f t="shared" si="2"/>
        <v>0</v>
      </c>
      <c r="J46" s="40">
        <f t="shared" si="5"/>
        <v>0</v>
      </c>
      <c r="K46" s="122" t="str">
        <f t="shared" si="3"/>
        <v>Yes</v>
      </c>
      <c r="L46" s="122" t="str">
        <f t="shared" si="4"/>
        <v xml:space="preserve"> </v>
      </c>
    </row>
    <row r="47" spans="1:12" x14ac:dyDescent="0.2">
      <c r="A47" s="122" t="s">
        <v>410</v>
      </c>
      <c r="B47" s="34">
        <v>10296294</v>
      </c>
      <c r="C47" s="34">
        <v>0</v>
      </c>
      <c r="D47" s="34">
        <f t="shared" si="6"/>
        <v>10296294</v>
      </c>
      <c r="E47" s="34">
        <f t="shared" si="1"/>
        <v>0</v>
      </c>
      <c r="G47" s="28">
        <v>-10296294</v>
      </c>
      <c r="H47" s="28"/>
      <c r="I47" s="125">
        <f t="shared" si="2"/>
        <v>0</v>
      </c>
      <c r="J47" s="40">
        <f t="shared" si="5"/>
        <v>0</v>
      </c>
      <c r="K47" s="122" t="str">
        <f t="shared" si="3"/>
        <v>Yes</v>
      </c>
      <c r="L47" s="122" t="str">
        <f t="shared" si="4"/>
        <v>Fixed at $25,000 (hardcoded in Model)</v>
      </c>
    </row>
    <row r="48" spans="1:12" x14ac:dyDescent="0.2">
      <c r="A48" s="122" t="s">
        <v>424</v>
      </c>
      <c r="B48" s="34">
        <v>8</v>
      </c>
      <c r="C48" s="34">
        <v>0</v>
      </c>
      <c r="D48" s="34">
        <f t="shared" si="6"/>
        <v>8</v>
      </c>
      <c r="E48" s="34">
        <f t="shared" si="1"/>
        <v>0</v>
      </c>
      <c r="G48" s="28"/>
      <c r="H48" s="28"/>
      <c r="I48" s="125">
        <f t="shared" si="2"/>
        <v>8</v>
      </c>
      <c r="J48" s="40">
        <f t="shared" si="5"/>
        <v>7.6306693444798783E-9</v>
      </c>
      <c r="K48" s="122" t="str">
        <f t="shared" si="3"/>
        <v>Yes</v>
      </c>
      <c r="L48" s="122" t="str">
        <f t="shared" si="4"/>
        <v xml:space="preserve"> </v>
      </c>
    </row>
    <row r="49" spans="1:12" x14ac:dyDescent="0.2">
      <c r="A49" s="122" t="s">
        <v>201</v>
      </c>
      <c r="B49" s="34">
        <v>1000000</v>
      </c>
      <c r="C49" s="34">
        <v>0</v>
      </c>
      <c r="D49" s="34">
        <f t="shared" si="6"/>
        <v>1000000</v>
      </c>
      <c r="E49" s="34">
        <f t="shared" si="1"/>
        <v>0</v>
      </c>
      <c r="G49" s="28"/>
      <c r="H49" s="28"/>
      <c r="I49" s="125">
        <f t="shared" si="2"/>
        <v>0</v>
      </c>
      <c r="J49" s="40">
        <f t="shared" si="5"/>
        <v>0</v>
      </c>
      <c r="K49" s="122" t="str">
        <f t="shared" si="3"/>
        <v>Yes</v>
      </c>
      <c r="L49" s="122" t="str">
        <f t="shared" si="4"/>
        <v xml:space="preserve"> </v>
      </c>
    </row>
    <row r="50" spans="1:12" x14ac:dyDescent="0.2">
      <c r="A50" s="122" t="s">
        <v>425</v>
      </c>
      <c r="B50" s="34">
        <v>90000</v>
      </c>
      <c r="C50" s="34">
        <v>0</v>
      </c>
      <c r="D50" s="34">
        <f t="shared" si="6"/>
        <v>90000</v>
      </c>
      <c r="E50" s="34">
        <f t="shared" si="1"/>
        <v>0</v>
      </c>
      <c r="G50" s="28"/>
      <c r="H50" s="28"/>
      <c r="I50" s="125">
        <f t="shared" si="2"/>
        <v>0</v>
      </c>
      <c r="J50" s="40">
        <f t="shared" si="5"/>
        <v>0</v>
      </c>
      <c r="K50" s="122" t="str">
        <f t="shared" si="3"/>
        <v>Yes</v>
      </c>
      <c r="L50" s="122" t="str">
        <f t="shared" si="4"/>
        <v>Debt Service related expenses</v>
      </c>
    </row>
    <row r="51" spans="1:12" x14ac:dyDescent="0.2">
      <c r="A51" s="122" t="s">
        <v>426</v>
      </c>
      <c r="B51" s="34">
        <v>91800</v>
      </c>
      <c r="C51" s="34">
        <v>0</v>
      </c>
      <c r="D51" s="34">
        <f t="shared" si="6"/>
        <v>91800</v>
      </c>
      <c r="E51" s="34">
        <f t="shared" si="1"/>
        <v>0</v>
      </c>
      <c r="G51" s="28"/>
      <c r="H51" s="28"/>
      <c r="I51" s="125">
        <f t="shared" si="2"/>
        <v>0</v>
      </c>
      <c r="J51" s="40">
        <f t="shared" si="5"/>
        <v>0</v>
      </c>
      <c r="K51" s="122" t="str">
        <f t="shared" si="3"/>
        <v>Yes</v>
      </c>
      <c r="L51" s="122" t="str">
        <f t="shared" si="4"/>
        <v>Debt Service related expenses</v>
      </c>
    </row>
    <row r="52" spans="1:12" x14ac:dyDescent="0.2">
      <c r="A52" s="122" t="s">
        <v>443</v>
      </c>
      <c r="B52" s="34">
        <v>87600</v>
      </c>
      <c r="C52" s="34">
        <v>0</v>
      </c>
      <c r="D52" s="34">
        <f t="shared" si="6"/>
        <v>87600</v>
      </c>
      <c r="E52" s="34">
        <f t="shared" si="1"/>
        <v>0</v>
      </c>
      <c r="G52" s="28"/>
      <c r="H52" s="28"/>
      <c r="I52" s="125">
        <f t="shared" si="2"/>
        <v>0</v>
      </c>
      <c r="J52" s="40">
        <f t="shared" si="5"/>
        <v>0</v>
      </c>
      <c r="K52" s="122" t="str">
        <f t="shared" si="3"/>
        <v>Yes</v>
      </c>
      <c r="L52" s="122" t="str">
        <f t="shared" si="4"/>
        <v>Debt Service related expenses</v>
      </c>
    </row>
    <row r="53" spans="1:12" x14ac:dyDescent="0.2">
      <c r="A53" s="122" t="s">
        <v>427</v>
      </c>
      <c r="B53" s="34">
        <v>128200</v>
      </c>
      <c r="C53" s="34">
        <v>0</v>
      </c>
      <c r="D53" s="34">
        <f t="shared" si="6"/>
        <v>128200</v>
      </c>
      <c r="E53" s="34">
        <f t="shared" si="1"/>
        <v>0</v>
      </c>
      <c r="G53" s="28"/>
      <c r="H53" s="28"/>
      <c r="I53" s="125">
        <f t="shared" si="2"/>
        <v>0</v>
      </c>
      <c r="J53" s="40">
        <f t="shared" si="5"/>
        <v>0</v>
      </c>
      <c r="K53" s="122" t="str">
        <f t="shared" si="3"/>
        <v>Yes</v>
      </c>
      <c r="L53" s="122" t="str">
        <f t="shared" si="4"/>
        <v>Debt Service related expenses</v>
      </c>
    </row>
    <row r="54" spans="1:12" x14ac:dyDescent="0.2">
      <c r="A54" s="122" t="s">
        <v>428</v>
      </c>
      <c r="B54" s="34">
        <v>93900</v>
      </c>
      <c r="C54" s="34">
        <v>0</v>
      </c>
      <c r="D54" s="34">
        <f t="shared" si="6"/>
        <v>93900</v>
      </c>
      <c r="E54" s="34">
        <f t="shared" si="1"/>
        <v>0</v>
      </c>
      <c r="G54" s="28"/>
      <c r="H54" s="28"/>
      <c r="I54" s="125">
        <f t="shared" si="2"/>
        <v>0</v>
      </c>
      <c r="J54" s="40">
        <f t="shared" si="5"/>
        <v>0</v>
      </c>
      <c r="K54" s="122" t="str">
        <f t="shared" si="3"/>
        <v>Yes</v>
      </c>
      <c r="L54" s="122" t="str">
        <f t="shared" si="4"/>
        <v>Debt Service related expenses</v>
      </c>
    </row>
    <row r="55" spans="1:12" x14ac:dyDescent="0.2">
      <c r="A55" s="122" t="s">
        <v>444</v>
      </c>
      <c r="B55" s="34">
        <v>82400</v>
      </c>
      <c r="C55" s="34">
        <v>0</v>
      </c>
      <c r="D55" s="34">
        <f t="shared" si="6"/>
        <v>82400</v>
      </c>
      <c r="E55" s="34">
        <f t="shared" si="1"/>
        <v>0</v>
      </c>
      <c r="G55" s="28"/>
      <c r="H55" s="28"/>
      <c r="I55" s="125">
        <f t="shared" si="2"/>
        <v>0</v>
      </c>
      <c r="J55" s="40">
        <f t="shared" si="5"/>
        <v>0</v>
      </c>
      <c r="K55" s="122" t="str">
        <f t="shared" si="3"/>
        <v>Yes</v>
      </c>
      <c r="L55" s="122" t="str">
        <f t="shared" si="4"/>
        <v>Debt Service related expenses</v>
      </c>
    </row>
    <row r="56" spans="1:12" x14ac:dyDescent="0.2">
      <c r="A56" s="122" t="s">
        <v>203</v>
      </c>
      <c r="B56" s="34">
        <v>0</v>
      </c>
      <c r="C56" s="34">
        <v>0</v>
      </c>
      <c r="D56" s="34">
        <f t="shared" si="6"/>
        <v>0</v>
      </c>
      <c r="E56" s="34">
        <f t="shared" si="1"/>
        <v>0</v>
      </c>
      <c r="G56" s="28"/>
      <c r="H56" s="28"/>
      <c r="I56" s="125">
        <f t="shared" si="2"/>
        <v>0</v>
      </c>
      <c r="J56" s="40">
        <f t="shared" si="5"/>
        <v>0</v>
      </c>
      <c r="K56" s="122" t="str">
        <f t="shared" si="3"/>
        <v>Yes</v>
      </c>
      <c r="L56" s="122" t="str">
        <f t="shared" si="4"/>
        <v xml:space="preserve"> </v>
      </c>
    </row>
    <row r="57" spans="1:12" x14ac:dyDescent="0.2">
      <c r="A57" s="122" t="s">
        <v>204</v>
      </c>
      <c r="B57" s="34">
        <v>4275</v>
      </c>
      <c r="C57" s="34">
        <v>0</v>
      </c>
      <c r="D57" s="34">
        <f t="shared" si="6"/>
        <v>4275</v>
      </c>
      <c r="E57" s="34">
        <f t="shared" si="1"/>
        <v>0</v>
      </c>
      <c r="G57" s="28"/>
      <c r="H57" s="28"/>
      <c r="I57" s="125">
        <f t="shared" si="2"/>
        <v>4275</v>
      </c>
      <c r="J57" s="40">
        <f t="shared" si="5"/>
        <v>4.077638930956435E-6</v>
      </c>
      <c r="K57" s="122" t="str">
        <f t="shared" si="3"/>
        <v>Yes</v>
      </c>
      <c r="L57" s="122" t="str">
        <f t="shared" si="4"/>
        <v xml:space="preserve"> </v>
      </c>
    </row>
    <row r="58" spans="1:12" x14ac:dyDescent="0.2">
      <c r="A58" s="122" t="s">
        <v>205</v>
      </c>
      <c r="B58" s="34">
        <v>1868055</v>
      </c>
      <c r="C58" s="34">
        <v>32050465</v>
      </c>
      <c r="D58" s="34">
        <f t="shared" si="6"/>
        <v>33918520</v>
      </c>
      <c r="E58" s="34">
        <f t="shared" si="1"/>
        <v>-16025232.5</v>
      </c>
      <c r="G58" s="28"/>
      <c r="H58" s="28"/>
      <c r="I58" s="125">
        <f t="shared" si="2"/>
        <v>17893287.5</v>
      </c>
      <c r="J58" s="40">
        <f t="shared" si="5"/>
        <v>1.7067220049776875E-2</v>
      </c>
      <c r="K58" s="122" t="str">
        <f t="shared" si="3"/>
        <v>Yes</v>
      </c>
      <c r="L58" s="122" t="str">
        <f t="shared" si="4"/>
        <v xml:space="preserve"> </v>
      </c>
    </row>
    <row r="59" spans="1:12" x14ac:dyDescent="0.2">
      <c r="A59" s="122" t="s">
        <v>325</v>
      </c>
      <c r="B59" s="34">
        <v>35500</v>
      </c>
      <c r="C59" s="34">
        <v>4569074</v>
      </c>
      <c r="D59" s="34">
        <f t="shared" si="6"/>
        <v>4604574</v>
      </c>
      <c r="E59" s="34">
        <f t="shared" si="1"/>
        <v>-2284537</v>
      </c>
      <c r="G59" s="28"/>
      <c r="H59" s="28"/>
      <c r="I59" s="125">
        <f t="shared" si="2"/>
        <v>0</v>
      </c>
      <c r="J59" s="40">
        <f t="shared" si="5"/>
        <v>0</v>
      </c>
      <c r="K59" s="122" t="str">
        <f t="shared" si="3"/>
        <v>Yes</v>
      </c>
      <c r="L59" s="122" t="str">
        <f t="shared" si="4"/>
        <v xml:space="preserve"> </v>
      </c>
    </row>
    <row r="60" spans="1:12" x14ac:dyDescent="0.2">
      <c r="A60" s="122" t="s">
        <v>324</v>
      </c>
      <c r="B60" s="34">
        <v>3307</v>
      </c>
      <c r="C60" s="34">
        <v>8578154</v>
      </c>
      <c r="D60" s="34">
        <f t="shared" si="6"/>
        <v>8581461</v>
      </c>
      <c r="E60" s="34">
        <f t="shared" si="1"/>
        <v>-4289077</v>
      </c>
      <c r="G60" s="28"/>
      <c r="H60" s="28"/>
      <c r="I60" s="125">
        <f t="shared" si="2"/>
        <v>0</v>
      </c>
      <c r="J60" s="40">
        <f t="shared" si="5"/>
        <v>0</v>
      </c>
      <c r="K60" s="122" t="str">
        <f t="shared" si="3"/>
        <v>Yes</v>
      </c>
      <c r="L60" s="122" t="str">
        <f t="shared" si="4"/>
        <v xml:space="preserve"> </v>
      </c>
    </row>
    <row r="61" spans="1:12" x14ac:dyDescent="0.2">
      <c r="A61" s="122" t="s">
        <v>207</v>
      </c>
      <c r="B61" s="34">
        <v>83105207</v>
      </c>
      <c r="C61" s="34">
        <v>91752810</v>
      </c>
      <c r="D61" s="34">
        <f t="shared" si="6"/>
        <v>174858017</v>
      </c>
      <c r="E61" s="34">
        <f t="shared" si="1"/>
        <v>-45876405</v>
      </c>
      <c r="G61" s="28"/>
      <c r="H61" s="28"/>
      <c r="I61" s="125">
        <f t="shared" si="2"/>
        <v>128981612</v>
      </c>
      <c r="J61" s="40">
        <f t="shared" si="5"/>
        <v>0.12302700408624974</v>
      </c>
      <c r="K61" s="122" t="str">
        <f t="shared" si="3"/>
        <v>Yes</v>
      </c>
      <c r="L61" s="122" t="str">
        <f t="shared" si="4"/>
        <v xml:space="preserve"> </v>
      </c>
    </row>
    <row r="62" spans="1:12" x14ac:dyDescent="0.2">
      <c r="A62" s="122" t="s">
        <v>208</v>
      </c>
      <c r="B62" s="34">
        <v>631935</v>
      </c>
      <c r="C62" s="34">
        <v>328</v>
      </c>
      <c r="D62" s="34">
        <f t="shared" si="6"/>
        <v>632263</v>
      </c>
      <c r="E62" s="34">
        <f t="shared" si="1"/>
        <v>-164</v>
      </c>
      <c r="F62" s="28"/>
      <c r="G62" s="28"/>
      <c r="H62" s="28"/>
      <c r="I62" s="125">
        <f t="shared" si="2"/>
        <v>632099</v>
      </c>
      <c r="J62" s="40">
        <f t="shared" si="5"/>
        <v>6.0291730774704824E-4</v>
      </c>
      <c r="K62" s="122" t="str">
        <f t="shared" ref="K62:K80" si="7">IF(VLOOKUP(A62,Model,2,FALSE)&lt;&gt;"","Yes","No")</f>
        <v>Yes</v>
      </c>
      <c r="L62" s="122" t="str">
        <f t="shared" ref="L62:L79" si="8">IF((VLOOKUP(A62,Crosswalk,3,FALSE))=0," ",(VLOOKUP(A62,Crosswalk,3,FALSE)))</f>
        <v xml:space="preserve"> </v>
      </c>
    </row>
    <row r="63" spans="1:12" x14ac:dyDescent="0.2">
      <c r="A63" s="122" t="s">
        <v>209</v>
      </c>
      <c r="B63" s="34">
        <v>65575138</v>
      </c>
      <c r="C63" s="34">
        <v>59474746</v>
      </c>
      <c r="D63" s="34">
        <f t="shared" si="6"/>
        <v>125049884</v>
      </c>
      <c r="E63" s="34">
        <f t="shared" si="1"/>
        <v>-29737373</v>
      </c>
      <c r="F63" s="28"/>
      <c r="G63" s="28"/>
      <c r="H63" s="28"/>
      <c r="I63" s="125">
        <f t="shared" si="2"/>
        <v>95312511</v>
      </c>
      <c r="J63" s="40">
        <f t="shared" si="5"/>
        <v>9.0912281979137644E-2</v>
      </c>
      <c r="K63" s="122" t="str">
        <f t="shared" si="7"/>
        <v>Yes</v>
      </c>
      <c r="L63" s="122" t="str">
        <f t="shared" si="8"/>
        <v xml:space="preserve"> </v>
      </c>
    </row>
    <row r="64" spans="1:12" x14ac:dyDescent="0.2">
      <c r="A64" s="122" t="s">
        <v>210</v>
      </c>
      <c r="B64" s="34">
        <v>7433957</v>
      </c>
      <c r="C64" s="34">
        <v>0</v>
      </c>
      <c r="D64" s="34">
        <f t="shared" si="6"/>
        <v>7433957</v>
      </c>
      <c r="E64" s="34">
        <f t="shared" si="1"/>
        <v>0</v>
      </c>
      <c r="F64" s="28"/>
      <c r="G64" s="28"/>
      <c r="H64" s="28"/>
      <c r="I64" s="125">
        <f t="shared" si="2"/>
        <v>7433957</v>
      </c>
      <c r="J64" s="40">
        <f t="shared" si="5"/>
        <v>7.0907584735101998E-3</v>
      </c>
      <c r="K64" s="122" t="str">
        <f t="shared" si="7"/>
        <v>Yes</v>
      </c>
      <c r="L64" s="122" t="str">
        <f t="shared" si="8"/>
        <v xml:space="preserve"> </v>
      </c>
    </row>
    <row r="65" spans="1:12" x14ac:dyDescent="0.2">
      <c r="A65" s="122" t="s">
        <v>211</v>
      </c>
      <c r="B65" s="34">
        <v>1095449</v>
      </c>
      <c r="C65" s="34">
        <v>0</v>
      </c>
      <c r="D65" s="34">
        <f t="shared" si="6"/>
        <v>1095449</v>
      </c>
      <c r="E65" s="34">
        <f t="shared" si="1"/>
        <v>0</v>
      </c>
      <c r="F65" s="28"/>
      <c r="G65" s="28"/>
      <c r="H65" s="28"/>
      <c r="I65" s="125">
        <f t="shared" si="2"/>
        <v>1095449</v>
      </c>
      <c r="J65" s="40">
        <f t="shared" si="5"/>
        <v>1.0448761378426422E-3</v>
      </c>
      <c r="K65" s="122" t="str">
        <f t="shared" si="7"/>
        <v>Yes</v>
      </c>
      <c r="L65" s="122" t="str">
        <f t="shared" si="8"/>
        <v xml:space="preserve"> </v>
      </c>
    </row>
    <row r="66" spans="1:12" x14ac:dyDescent="0.2">
      <c r="A66" s="122" t="s">
        <v>212</v>
      </c>
      <c r="B66" s="34">
        <v>3398763</v>
      </c>
      <c r="C66" s="34">
        <v>0</v>
      </c>
      <c r="D66" s="34">
        <f t="shared" ref="D66:D70" si="9">SUM(B66:C66)</f>
        <v>3398763</v>
      </c>
      <c r="E66" s="34">
        <f t="shared" ref="E66:E79" si="10">C66*-0.5</f>
        <v>0</v>
      </c>
      <c r="F66" s="28"/>
      <c r="G66" s="28"/>
      <c r="H66" s="28"/>
      <c r="I66" s="125">
        <f t="shared" ref="I66:I80" si="11">IF((VLOOKUP(A66,Crosswalk,2,FALSE)="Excluded"),0,(D66+E66+F66+G66+H66))</f>
        <v>3398763</v>
      </c>
      <c r="J66" s="40">
        <f t="shared" si="5"/>
        <v>3.241854579156558E-3</v>
      </c>
      <c r="K66" s="122" t="str">
        <f t="shared" si="7"/>
        <v>Yes</v>
      </c>
      <c r="L66" s="122" t="str">
        <f t="shared" si="8"/>
        <v xml:space="preserve"> </v>
      </c>
    </row>
    <row r="67" spans="1:12" x14ac:dyDescent="0.2">
      <c r="A67" s="122" t="s">
        <v>213</v>
      </c>
      <c r="B67" s="34">
        <v>4528999</v>
      </c>
      <c r="C67" s="34">
        <v>1196421</v>
      </c>
      <c r="D67" s="34">
        <f t="shared" si="9"/>
        <v>5725420</v>
      </c>
      <c r="E67" s="34">
        <f t="shared" si="10"/>
        <v>-598210.5</v>
      </c>
      <c r="F67" s="28"/>
      <c r="G67" s="28"/>
      <c r="H67" s="28"/>
      <c r="I67" s="125">
        <f t="shared" si="11"/>
        <v>5127209.5</v>
      </c>
      <c r="J67" s="40">
        <f t="shared" ref="J67:J80" si="12">I67/(SUM($I$2:$I$80))</f>
        <v>4.8905050442969999E-3</v>
      </c>
      <c r="K67" s="122" t="str">
        <f t="shared" si="7"/>
        <v>Yes</v>
      </c>
      <c r="L67" s="122" t="str">
        <f t="shared" si="8"/>
        <v xml:space="preserve"> </v>
      </c>
    </row>
    <row r="68" spans="1:12" x14ac:dyDescent="0.2">
      <c r="A68" s="122" t="s">
        <v>214</v>
      </c>
      <c r="B68" s="34">
        <v>5903442</v>
      </c>
      <c r="C68" s="34">
        <v>1332281</v>
      </c>
      <c r="D68" s="34">
        <f t="shared" si="9"/>
        <v>7235723</v>
      </c>
      <c r="E68" s="34">
        <f t="shared" si="10"/>
        <v>-666140.5</v>
      </c>
      <c r="F68" s="28"/>
      <c r="G68" s="28"/>
      <c r="H68" s="28"/>
      <c r="I68" s="125">
        <f t="shared" si="11"/>
        <v>6569582.5</v>
      </c>
      <c r="J68" s="40">
        <f t="shared" si="12"/>
        <v>6.2662889735976843E-3</v>
      </c>
      <c r="K68" s="122" t="str">
        <f t="shared" si="7"/>
        <v>Yes</v>
      </c>
      <c r="L68" s="122" t="str">
        <f t="shared" si="8"/>
        <v xml:space="preserve"> </v>
      </c>
    </row>
    <row r="69" spans="1:12" x14ac:dyDescent="0.2">
      <c r="A69" s="122" t="s">
        <v>215</v>
      </c>
      <c r="B69" s="34">
        <v>1298368</v>
      </c>
      <c r="C69" s="34">
        <v>0</v>
      </c>
      <c r="D69" s="34">
        <f t="shared" si="9"/>
        <v>1298368</v>
      </c>
      <c r="E69" s="34">
        <f t="shared" si="10"/>
        <v>0</v>
      </c>
      <c r="F69" s="28"/>
      <c r="G69" s="28"/>
      <c r="H69" s="28"/>
      <c r="I69" s="125">
        <f t="shared" si="11"/>
        <v>1298368</v>
      </c>
      <c r="J69" s="40">
        <f t="shared" si="12"/>
        <v>1.2384271119317062E-3</v>
      </c>
      <c r="K69" s="122" t="str">
        <f t="shared" si="7"/>
        <v>Yes</v>
      </c>
      <c r="L69" s="122" t="str">
        <f t="shared" si="8"/>
        <v xml:space="preserve"> </v>
      </c>
    </row>
    <row r="70" spans="1:12" x14ac:dyDescent="0.2">
      <c r="A70" s="122" t="s">
        <v>326</v>
      </c>
      <c r="B70" s="34">
        <v>0</v>
      </c>
      <c r="C70" s="34">
        <v>0</v>
      </c>
      <c r="D70" s="34">
        <f t="shared" si="9"/>
        <v>0</v>
      </c>
      <c r="E70" s="34">
        <f t="shared" si="10"/>
        <v>0</v>
      </c>
      <c r="F70" s="28"/>
      <c r="G70" s="28"/>
      <c r="H70" s="28"/>
      <c r="I70" s="125">
        <f t="shared" si="11"/>
        <v>0</v>
      </c>
      <c r="J70" s="40">
        <f t="shared" si="12"/>
        <v>0</v>
      </c>
      <c r="K70" s="122" t="str">
        <f t="shared" si="7"/>
        <v>Yes</v>
      </c>
      <c r="L70" s="122" t="str">
        <f t="shared" si="8"/>
        <v xml:space="preserve"> </v>
      </c>
    </row>
    <row r="71" spans="1:12" x14ac:dyDescent="0.2">
      <c r="A71" s="122" t="s">
        <v>216</v>
      </c>
      <c r="B71" s="34">
        <v>60545456</v>
      </c>
      <c r="C71" s="34">
        <v>0</v>
      </c>
      <c r="D71" s="34">
        <f t="shared" ref="D71:D80" si="13">SUM(B71:C71)</f>
        <v>60545456</v>
      </c>
      <c r="E71" s="34">
        <f t="shared" si="10"/>
        <v>0</v>
      </c>
      <c r="F71" s="28">
        <v>-54588124</v>
      </c>
      <c r="G71" s="28"/>
      <c r="H71" s="28"/>
      <c r="I71" s="125">
        <f t="shared" si="11"/>
        <v>5957332</v>
      </c>
      <c r="J71" s="40">
        <f t="shared" si="12"/>
        <v>5.6823038334111245E-3</v>
      </c>
      <c r="K71" s="122" t="str">
        <f t="shared" si="7"/>
        <v>Yes</v>
      </c>
      <c r="L71" s="122" t="str">
        <f t="shared" si="8"/>
        <v>Excludes insurance claim payouts (529721 in subfund 700000 and 521900 in subfund 700001)</v>
      </c>
    </row>
    <row r="72" spans="1:12" x14ac:dyDescent="0.2">
      <c r="A72" s="122" t="s">
        <v>217</v>
      </c>
      <c r="B72" s="34">
        <v>20933459</v>
      </c>
      <c r="C72" s="34">
        <v>15084317</v>
      </c>
      <c r="D72" s="34">
        <f t="shared" si="13"/>
        <v>36017776</v>
      </c>
      <c r="E72" s="34">
        <f t="shared" si="10"/>
        <v>-7542158.5</v>
      </c>
      <c r="G72" s="28"/>
      <c r="H72" s="28"/>
      <c r="I72" s="125">
        <f t="shared" si="11"/>
        <v>28475617.5</v>
      </c>
      <c r="J72" s="40">
        <f t="shared" si="12"/>
        <v>2.716100269029809E-2</v>
      </c>
      <c r="K72" s="122" t="str">
        <f t="shared" si="7"/>
        <v>Yes</v>
      </c>
      <c r="L72" s="122" t="str">
        <f t="shared" si="8"/>
        <v xml:space="preserve"> </v>
      </c>
    </row>
    <row r="73" spans="1:12" x14ac:dyDescent="0.2">
      <c r="A73" s="122" t="s">
        <v>218</v>
      </c>
      <c r="B73" s="34">
        <v>19846751</v>
      </c>
      <c r="C73" s="34">
        <v>11109146</v>
      </c>
      <c r="D73" s="34">
        <f t="shared" si="13"/>
        <v>30955897</v>
      </c>
      <c r="E73" s="34">
        <f t="shared" si="10"/>
        <v>-5554573</v>
      </c>
      <c r="G73" s="28"/>
      <c r="H73" s="28"/>
      <c r="I73" s="125">
        <f t="shared" si="11"/>
        <v>25401324</v>
      </c>
      <c r="J73" s="40">
        <f t="shared" si="12"/>
        <v>2.4228638044500123E-2</v>
      </c>
      <c r="K73" s="122" t="str">
        <f t="shared" si="7"/>
        <v>Yes</v>
      </c>
      <c r="L73" s="122" t="str">
        <f t="shared" si="8"/>
        <v xml:space="preserve"> </v>
      </c>
    </row>
    <row r="74" spans="1:12" x14ac:dyDescent="0.2">
      <c r="A74" s="122" t="s">
        <v>219</v>
      </c>
      <c r="B74" s="34">
        <v>5718495</v>
      </c>
      <c r="C74" s="34">
        <v>0</v>
      </c>
      <c r="D74" s="34">
        <f t="shared" si="13"/>
        <v>5718495</v>
      </c>
      <c r="E74" s="34">
        <f t="shared" si="10"/>
        <v>0</v>
      </c>
      <c r="I74" s="125">
        <f t="shared" si="11"/>
        <v>5718495</v>
      </c>
      <c r="J74" s="40">
        <f t="shared" si="12"/>
        <v>5.454493061632682E-3</v>
      </c>
      <c r="K74" s="122" t="str">
        <f t="shared" si="7"/>
        <v>Yes</v>
      </c>
      <c r="L74" s="122" t="str">
        <f t="shared" si="8"/>
        <v xml:space="preserve"> </v>
      </c>
    </row>
    <row r="75" spans="1:12" x14ac:dyDescent="0.2">
      <c r="A75" s="122" t="s">
        <v>220</v>
      </c>
      <c r="B75" s="34">
        <v>6297735</v>
      </c>
      <c r="C75" s="34">
        <v>0</v>
      </c>
      <c r="D75" s="34">
        <f t="shared" si="13"/>
        <v>6297735</v>
      </c>
      <c r="E75" s="34">
        <f t="shared" si="10"/>
        <v>0</v>
      </c>
      <c r="F75" s="34">
        <v>-2265135</v>
      </c>
      <c r="I75" s="125">
        <f t="shared" si="11"/>
        <v>4032600</v>
      </c>
      <c r="J75" s="40">
        <f t="shared" si="12"/>
        <v>3.8464296498186942E-3</v>
      </c>
      <c r="K75" s="122" t="str">
        <f t="shared" si="7"/>
        <v>Yes</v>
      </c>
      <c r="L75" s="122" t="str">
        <f t="shared" si="8"/>
        <v>Excludes risk mgmt claim payouts (529700)</v>
      </c>
    </row>
    <row r="76" spans="1:12" x14ac:dyDescent="0.2">
      <c r="A76" s="122" t="s">
        <v>221</v>
      </c>
      <c r="B76" s="34">
        <v>4252740</v>
      </c>
      <c r="C76" s="34">
        <v>0</v>
      </c>
      <c r="D76" s="34">
        <f t="shared" si="13"/>
        <v>4252740</v>
      </c>
      <c r="E76" s="34">
        <f t="shared" si="10"/>
        <v>0</v>
      </c>
      <c r="F76" s="34">
        <v>-2206241</v>
      </c>
      <c r="I76" s="125">
        <f t="shared" si="11"/>
        <v>2046499</v>
      </c>
      <c r="J76" s="40">
        <f t="shared" si="12"/>
        <v>1.9520196478510906E-3</v>
      </c>
      <c r="K76" s="122" t="str">
        <f t="shared" si="7"/>
        <v>Yes</v>
      </c>
      <c r="L76" s="122" t="str">
        <f t="shared" si="8"/>
        <v>Excludes risk mgmt claim payouts (529700)</v>
      </c>
    </row>
    <row r="77" spans="1:12" x14ac:dyDescent="0.2">
      <c r="A77" s="122" t="s">
        <v>222</v>
      </c>
      <c r="B77" s="34">
        <v>41527731</v>
      </c>
      <c r="C77" s="34">
        <v>8879745</v>
      </c>
      <c r="D77" s="34">
        <f t="shared" si="13"/>
        <v>50407476</v>
      </c>
      <c r="E77" s="34">
        <f t="shared" si="10"/>
        <v>-4439872.5</v>
      </c>
      <c r="I77" s="125">
        <f t="shared" si="11"/>
        <v>45967603.5</v>
      </c>
      <c r="J77" s="40">
        <f t="shared" si="12"/>
        <v>4.3845447858331991E-2</v>
      </c>
      <c r="K77" s="122" t="str">
        <f t="shared" si="7"/>
        <v>Yes</v>
      </c>
      <c r="L77" s="122" t="str">
        <f t="shared" si="8"/>
        <v xml:space="preserve"> </v>
      </c>
    </row>
    <row r="78" spans="1:12" x14ac:dyDescent="0.2">
      <c r="A78" s="122" t="s">
        <v>223</v>
      </c>
      <c r="B78" s="34">
        <v>3326488</v>
      </c>
      <c r="C78" s="34">
        <v>15792</v>
      </c>
      <c r="D78" s="34">
        <f t="shared" si="13"/>
        <v>3342280</v>
      </c>
      <c r="E78" s="34">
        <f t="shared" si="10"/>
        <v>-7896</v>
      </c>
      <c r="I78" s="125">
        <f t="shared" si="11"/>
        <v>3334384</v>
      </c>
      <c r="J78" s="40">
        <f t="shared" si="12"/>
        <v>3.1804477214405239E-3</v>
      </c>
      <c r="K78" s="122" t="str">
        <f t="shared" si="7"/>
        <v>Yes</v>
      </c>
      <c r="L78" s="122" t="str">
        <f t="shared" si="8"/>
        <v xml:space="preserve"> </v>
      </c>
    </row>
    <row r="79" spans="1:12" x14ac:dyDescent="0.2">
      <c r="A79" s="122" t="s">
        <v>224</v>
      </c>
      <c r="B79" s="34">
        <v>122497994</v>
      </c>
      <c r="C79" s="34">
        <v>67320</v>
      </c>
      <c r="D79" s="34">
        <f t="shared" si="13"/>
        <v>122565314</v>
      </c>
      <c r="E79" s="34">
        <f t="shared" si="10"/>
        <v>-33660</v>
      </c>
      <c r="F79" s="34">
        <v>-119890268</v>
      </c>
      <c r="I79" s="125">
        <f t="shared" si="11"/>
        <v>2641386</v>
      </c>
      <c r="J79" s="40">
        <f t="shared" si="12"/>
        <v>2.5194428971422908E-3</v>
      </c>
      <c r="K79" s="122" t="str">
        <f t="shared" si="7"/>
        <v>Yes</v>
      </c>
      <c r="L79" s="122" t="str">
        <f t="shared" si="8"/>
        <v>Excludes retirement payouts, PERS contributions, and disability/death benefits (547000, 547100)</v>
      </c>
    </row>
    <row r="80" spans="1:12" x14ac:dyDescent="0.2">
      <c r="A80" s="122" t="s">
        <v>225</v>
      </c>
      <c r="B80" s="34">
        <v>8611</v>
      </c>
      <c r="C80" s="34">
        <v>0</v>
      </c>
      <c r="D80" s="34">
        <f t="shared" si="13"/>
        <v>8611</v>
      </c>
      <c r="I80" s="125">
        <f t="shared" si="11"/>
        <v>0</v>
      </c>
      <c r="J80" s="40">
        <f t="shared" si="12"/>
        <v>0</v>
      </c>
      <c r="K80" s="122" t="str">
        <f t="shared" si="7"/>
        <v>Yes</v>
      </c>
    </row>
  </sheetData>
  <autoFilter ref="A1:N80" xr:uid="{2C8BE13A-50CB-4294-8F4D-6E93211BC88F}"/>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42"/>
  <sheetViews>
    <sheetView topLeftCell="A9" workbookViewId="0">
      <selection activeCell="F22" sqref="F22"/>
    </sheetView>
  </sheetViews>
  <sheetFormatPr defaultColWidth="8.7109375" defaultRowHeight="12.75" x14ac:dyDescent="0.2"/>
  <cols>
    <col min="1" max="1" width="11.42578125" style="122" customWidth="1"/>
    <col min="2" max="3" width="8.42578125" style="122" customWidth="1"/>
    <col min="4" max="4" width="12.5703125" style="34" customWidth="1"/>
    <col min="5" max="5" width="11.28515625" style="34" customWidth="1"/>
    <col min="6" max="6" width="11" style="122" customWidth="1"/>
    <col min="7" max="7" width="10.28515625" style="122" customWidth="1"/>
    <col min="8" max="8" width="9.7109375" style="122" customWidth="1"/>
    <col min="9" max="16384" width="8.7109375" style="122"/>
  </cols>
  <sheetData>
    <row r="1" spans="1:15" s="131" customFormat="1" ht="60" x14ac:dyDescent="0.25">
      <c r="A1" s="128" t="s">
        <v>226</v>
      </c>
      <c r="B1" s="129" t="s">
        <v>383</v>
      </c>
      <c r="C1" s="129" t="s">
        <v>408</v>
      </c>
      <c r="D1" s="87" t="s">
        <v>407</v>
      </c>
      <c r="E1" s="87" t="s">
        <v>384</v>
      </c>
      <c r="F1" s="130" t="s">
        <v>340</v>
      </c>
      <c r="G1" s="123" t="s">
        <v>338</v>
      </c>
      <c r="H1" s="123" t="s">
        <v>343</v>
      </c>
    </row>
    <row r="2" spans="1:15" ht="15" x14ac:dyDescent="0.25">
      <c r="A2" s="101" t="s">
        <v>161</v>
      </c>
      <c r="B2" s="102">
        <v>72</v>
      </c>
      <c r="C2" s="132">
        <v>-2</v>
      </c>
      <c r="D2" s="34">
        <v>-70</v>
      </c>
      <c r="E2" s="34">
        <f t="shared" ref="E2:E41" si="0">IF((VLOOKUP(A2,Crosswalk,2,FALSE)="Excluded"),0,(SUM(B2+C2+D2)))</f>
        <v>0</v>
      </c>
      <c r="F2" s="18">
        <f t="shared" ref="F2:F41" si="1">E2/SUM($E$2:$E$41)</f>
        <v>0</v>
      </c>
      <c r="G2" s="122" t="str">
        <f t="shared" ref="G2:G41" si="2">IF(VLOOKUP(A2,Model,2,FALSE)&lt;&gt;"","Yes","No")</f>
        <v>Yes</v>
      </c>
      <c r="H2" s="133" t="str">
        <f t="shared" ref="H2:H40" si="3">IF((VLOOKUP(A2,Crosswalk,3,FALSE))=0," ",(VLOOKUP(A2,Crosswalk,3,FALSE)))</f>
        <v>100% Overhead</v>
      </c>
    </row>
    <row r="3" spans="1:15" ht="15" x14ac:dyDescent="0.25">
      <c r="A3" s="101" t="s">
        <v>162</v>
      </c>
      <c r="B3" s="102">
        <v>71</v>
      </c>
      <c r="C3" s="132">
        <v>-14</v>
      </c>
      <c r="D3" s="34">
        <f>-53-4+14</f>
        <v>-43</v>
      </c>
      <c r="E3" s="34">
        <f t="shared" si="0"/>
        <v>14</v>
      </c>
      <c r="F3" s="18">
        <f t="shared" si="1"/>
        <v>1.6047135889153451E-3</v>
      </c>
      <c r="G3" s="122" t="str">
        <f t="shared" si="2"/>
        <v>Yes</v>
      </c>
      <c r="H3" s="133" t="str">
        <f>IF((VLOOKUP(A3,Crosswalk,3,FALSE))=0," ",(VLOOKUP(A3,Crosswalk,3,FALSE)))</f>
        <v>Exclude IPR starting in FY 2017-18 actuals</v>
      </c>
      <c r="O3" s="122" t="s">
        <v>491</v>
      </c>
    </row>
    <row r="4" spans="1:15" ht="15" x14ac:dyDescent="0.25">
      <c r="A4" s="101" t="s">
        <v>342</v>
      </c>
      <c r="B4" s="102">
        <v>17</v>
      </c>
      <c r="C4" s="132">
        <v>-2</v>
      </c>
      <c r="D4" s="34">
        <v>-15</v>
      </c>
      <c r="E4" s="34">
        <f t="shared" si="0"/>
        <v>0</v>
      </c>
      <c r="F4" s="18">
        <f t="shared" si="1"/>
        <v>0</v>
      </c>
      <c r="G4" s="122" t="str">
        <f t="shared" si="2"/>
        <v>Yes</v>
      </c>
      <c r="H4" s="133" t="str">
        <f t="shared" si="3"/>
        <v>100% Overhead</v>
      </c>
    </row>
    <row r="5" spans="1:15" ht="15" x14ac:dyDescent="0.25">
      <c r="A5" s="101" t="s">
        <v>164</v>
      </c>
      <c r="B5" s="102">
        <v>22</v>
      </c>
      <c r="C5" s="132">
        <v>-1</v>
      </c>
      <c r="D5" s="34">
        <v>-21</v>
      </c>
      <c r="E5" s="34">
        <f t="shared" si="0"/>
        <v>0</v>
      </c>
      <c r="F5" s="18">
        <f t="shared" si="1"/>
        <v>0</v>
      </c>
      <c r="G5" s="122" t="str">
        <f t="shared" si="2"/>
        <v>Yes</v>
      </c>
      <c r="H5" s="133" t="str">
        <f t="shared" si="3"/>
        <v>100% Overhead</v>
      </c>
    </row>
    <row r="6" spans="1:15" ht="15" x14ac:dyDescent="0.25">
      <c r="A6" s="101" t="s">
        <v>165</v>
      </c>
      <c r="B6" s="102">
        <v>757</v>
      </c>
      <c r="C6" s="132">
        <v>-16</v>
      </c>
      <c r="D6" s="28">
        <v>-1</v>
      </c>
      <c r="E6" s="34">
        <f t="shared" si="0"/>
        <v>740</v>
      </c>
      <c r="F6" s="18">
        <f t="shared" si="1"/>
        <v>8.4820575414096808E-2</v>
      </c>
      <c r="G6" s="122" t="str">
        <f t="shared" si="2"/>
        <v>Yes</v>
      </c>
      <c r="H6" s="133" t="str">
        <f t="shared" si="3"/>
        <v>Exclude expenditures for emergency mgmt (FREO000004 Fund Center)</v>
      </c>
      <c r="O6" s="122" t="s">
        <v>483</v>
      </c>
    </row>
    <row r="7" spans="1:15" ht="15" x14ac:dyDescent="0.25">
      <c r="A7" s="101" t="s">
        <v>157</v>
      </c>
      <c r="B7" s="102">
        <v>11</v>
      </c>
      <c r="C7" s="132">
        <v>-1</v>
      </c>
      <c r="D7" s="34">
        <v>-10</v>
      </c>
      <c r="E7" s="34">
        <f t="shared" si="0"/>
        <v>0</v>
      </c>
      <c r="F7" s="18">
        <f t="shared" si="1"/>
        <v>0</v>
      </c>
      <c r="G7" s="122" t="str">
        <f t="shared" si="2"/>
        <v>Yes</v>
      </c>
      <c r="H7" s="133" t="str">
        <f t="shared" si="3"/>
        <v>100% Overhead</v>
      </c>
    </row>
    <row r="8" spans="1:15" ht="15" x14ac:dyDescent="0.25">
      <c r="A8" s="101" t="s">
        <v>166</v>
      </c>
      <c r="B8" s="102">
        <v>68</v>
      </c>
      <c r="C8" s="132">
        <v>-2</v>
      </c>
      <c r="D8" s="28"/>
      <c r="E8" s="34">
        <f t="shared" si="0"/>
        <v>66</v>
      </c>
      <c r="F8" s="18">
        <f t="shared" si="1"/>
        <v>7.5650783477437698E-3</v>
      </c>
      <c r="G8" s="122" t="str">
        <f t="shared" si="2"/>
        <v>Yes</v>
      </c>
      <c r="H8" s="122" t="str">
        <f t="shared" si="3"/>
        <v xml:space="preserve"> </v>
      </c>
    </row>
    <row r="9" spans="1:15" ht="15" x14ac:dyDescent="0.25">
      <c r="A9" s="134" t="s">
        <v>159</v>
      </c>
      <c r="B9" s="102">
        <v>280</v>
      </c>
      <c r="C9" s="132">
        <v>-11</v>
      </c>
      <c r="D9" s="28">
        <v>-190</v>
      </c>
      <c r="E9" s="34">
        <f t="shared" si="0"/>
        <v>79</v>
      </c>
      <c r="F9" s="18">
        <f t="shared" si="1"/>
        <v>9.0551695374508755E-3</v>
      </c>
      <c r="G9" s="122" t="str">
        <f t="shared" si="2"/>
        <v>Yes</v>
      </c>
      <c r="H9" s="133" t="str">
        <f t="shared" si="3"/>
        <v>Exclude MFHR, MFDR, MFPU, MFOP, and MFFS cost centers. Beginning FY 18-19 need to also adjust for MFRB000002 functional area LACROPBAAR (accounts receiveable)</v>
      </c>
    </row>
    <row r="10" spans="1:15" ht="15" x14ac:dyDescent="0.25">
      <c r="A10" s="101" t="s">
        <v>163</v>
      </c>
      <c r="B10" s="102">
        <v>22</v>
      </c>
      <c r="C10" s="132">
        <v>-3</v>
      </c>
      <c r="D10" s="28">
        <f>-19+2</f>
        <v>-17</v>
      </c>
      <c r="E10" s="34">
        <f t="shared" si="0"/>
        <v>2</v>
      </c>
      <c r="F10" s="18">
        <f t="shared" si="1"/>
        <v>2.2924479841647787E-4</v>
      </c>
      <c r="G10" s="122" t="str">
        <f t="shared" si="2"/>
        <v>Yes</v>
      </c>
      <c r="H10" s="133" t="str">
        <f t="shared" si="3"/>
        <v>Exclude expenditures for Admin &amp; Support (LAMYAS Functional Area), include only OYVP for positions</v>
      </c>
      <c r="O10" s="122" t="s">
        <v>484</v>
      </c>
    </row>
    <row r="11" spans="1:15" ht="15" x14ac:dyDescent="0.25">
      <c r="A11" s="134" t="s">
        <v>160</v>
      </c>
      <c r="B11" s="102">
        <v>81</v>
      </c>
      <c r="C11" s="132">
        <v>-16</v>
      </c>
      <c r="D11" s="28">
        <v>-6</v>
      </c>
      <c r="E11" s="34">
        <f t="shared" si="0"/>
        <v>59</v>
      </c>
      <c r="F11" s="18">
        <f t="shared" si="1"/>
        <v>6.7627215532860968E-3</v>
      </c>
      <c r="G11" s="122" t="str">
        <f t="shared" si="2"/>
        <v>Yes</v>
      </c>
      <c r="H11" s="122" t="str">
        <f t="shared" si="3"/>
        <v>Exclude expenditures for Information &amp; Referral and Public Involvement best practices (CDIR - Info &amp; Rfrrl org unit for positions, CDNRNOPI - no positions)</v>
      </c>
    </row>
    <row r="12" spans="1:15" s="139" customFormat="1" ht="15" x14ac:dyDescent="0.25">
      <c r="A12" s="134" t="s">
        <v>316</v>
      </c>
      <c r="B12" s="22">
        <v>15</v>
      </c>
      <c r="C12" s="138">
        <v>-1</v>
      </c>
      <c r="D12" s="86">
        <f>(-8.15*0.6848739)</f>
        <v>-5.5817222850000006</v>
      </c>
      <c r="E12" s="86">
        <f t="shared" si="0"/>
        <v>8.4182777149999986</v>
      </c>
      <c r="F12" s="18">
        <f t="shared" si="1"/>
        <v>9.6492318889455128E-4</v>
      </c>
      <c r="G12" s="139" t="str">
        <f t="shared" si="2"/>
        <v>Yes</v>
      </c>
      <c r="H12" s="139" t="str">
        <f t="shared" si="3"/>
        <v>Exclude expenditures for Citywide Equity, Civil Rights, and % admin (CDCE, CDCR &amp; portion CDAS) - use base budget for position allocations</v>
      </c>
    </row>
    <row r="13" spans="1:15" ht="15" x14ac:dyDescent="0.25">
      <c r="A13" s="101" t="s">
        <v>152</v>
      </c>
      <c r="B13" s="102">
        <v>16</v>
      </c>
      <c r="C13" s="132">
        <v>-3</v>
      </c>
      <c r="D13" s="28">
        <f>-7-1</f>
        <v>-8</v>
      </c>
      <c r="E13" s="34">
        <f t="shared" si="0"/>
        <v>5</v>
      </c>
      <c r="F13" s="18">
        <f t="shared" si="1"/>
        <v>5.7311199604119468E-4</v>
      </c>
      <c r="G13" s="122" t="str">
        <f t="shared" si="2"/>
        <v>Yes</v>
      </c>
      <c r="H13" s="133" t="str">
        <f t="shared" si="3"/>
        <v>Exclude Commissioner's Office (PACO000001)</v>
      </c>
    </row>
    <row r="14" spans="1:15" ht="15" x14ac:dyDescent="0.25">
      <c r="A14" s="101" t="s">
        <v>167</v>
      </c>
      <c r="B14" s="102">
        <v>5630</v>
      </c>
      <c r="C14" s="132">
        <v>-2464</v>
      </c>
      <c r="E14" s="34">
        <f t="shared" si="0"/>
        <v>3166</v>
      </c>
      <c r="F14" s="18">
        <f t="shared" si="1"/>
        <v>0.36289451589328448</v>
      </c>
      <c r="G14" s="122" t="str">
        <f t="shared" si="2"/>
        <v>Yes</v>
      </c>
      <c r="H14" s="122" t="str">
        <f t="shared" si="3"/>
        <v xml:space="preserve"> </v>
      </c>
    </row>
    <row r="15" spans="1:15" ht="15" x14ac:dyDescent="0.25">
      <c r="A15" s="101" t="s">
        <v>168</v>
      </c>
      <c r="B15" s="102">
        <v>1247</v>
      </c>
      <c r="C15" s="132">
        <v>-1</v>
      </c>
      <c r="D15" s="28"/>
      <c r="E15" s="34">
        <f t="shared" si="0"/>
        <v>1246</v>
      </c>
      <c r="F15" s="18">
        <f t="shared" si="1"/>
        <v>0.14281950941346572</v>
      </c>
      <c r="G15" s="122" t="str">
        <f t="shared" si="2"/>
        <v>Yes</v>
      </c>
      <c r="H15" s="122" t="str">
        <f t="shared" si="3"/>
        <v xml:space="preserve"> </v>
      </c>
    </row>
    <row r="16" spans="1:15" ht="15" x14ac:dyDescent="0.25">
      <c r="A16" s="135" t="s">
        <v>151</v>
      </c>
      <c r="B16" s="102">
        <v>97</v>
      </c>
      <c r="C16" s="132">
        <v>-8</v>
      </c>
      <c r="D16" s="28">
        <f>((700/100)*0.5)+(738/100)</f>
        <v>10.879999999999999</v>
      </c>
      <c r="E16" s="34">
        <f t="shared" si="0"/>
        <v>99.88</v>
      </c>
      <c r="F16" s="18">
        <f t="shared" si="1"/>
        <v>1.1448485232918904E-2</v>
      </c>
      <c r="G16" s="122" t="str">
        <f t="shared" si="2"/>
        <v>Yes</v>
      </c>
      <c r="H16" s="122" t="str">
        <f t="shared" si="3"/>
        <v>Exclude expenditures for Comp Planning &amp; 1/2 of district liaisons (CDAPDI - Dist Plan org unit for positions, CDCPCM - use base budget for positions)</v>
      </c>
    </row>
    <row r="17" spans="1:8" ht="15" x14ac:dyDescent="0.25">
      <c r="A17" s="101" t="s">
        <v>153</v>
      </c>
      <c r="B17" s="102">
        <v>10</v>
      </c>
      <c r="C17" s="132">
        <v>-2</v>
      </c>
      <c r="D17" s="34">
        <v>-8</v>
      </c>
      <c r="E17" s="34">
        <f t="shared" si="0"/>
        <v>0</v>
      </c>
      <c r="F17" s="18">
        <f t="shared" si="1"/>
        <v>0</v>
      </c>
      <c r="G17" s="122" t="str">
        <f t="shared" si="2"/>
        <v>Yes</v>
      </c>
      <c r="H17" s="133" t="str">
        <f t="shared" si="3"/>
        <v>100% Overhead</v>
      </c>
    </row>
    <row r="18" spans="1:8" ht="15" x14ac:dyDescent="0.25">
      <c r="A18" s="101" t="s">
        <v>154</v>
      </c>
      <c r="B18" s="102">
        <v>9</v>
      </c>
      <c r="C18" s="132">
        <v>-1</v>
      </c>
      <c r="D18" s="34">
        <v>-8</v>
      </c>
      <c r="E18" s="34">
        <f t="shared" si="0"/>
        <v>0</v>
      </c>
      <c r="F18" s="18">
        <f t="shared" si="1"/>
        <v>0</v>
      </c>
      <c r="G18" s="122" t="str">
        <f t="shared" si="2"/>
        <v>Yes</v>
      </c>
      <c r="H18" s="133" t="str">
        <f t="shared" si="3"/>
        <v>100% Overhead</v>
      </c>
    </row>
    <row r="19" spans="1:8" ht="15" x14ac:dyDescent="0.25">
      <c r="A19" s="101" t="s">
        <v>155</v>
      </c>
      <c r="B19" s="102">
        <v>12</v>
      </c>
      <c r="C19" s="132">
        <v>-3</v>
      </c>
      <c r="D19" s="34">
        <v>-9</v>
      </c>
      <c r="E19" s="34">
        <f t="shared" si="0"/>
        <v>0</v>
      </c>
      <c r="F19" s="18">
        <f t="shared" si="1"/>
        <v>0</v>
      </c>
      <c r="G19" s="122" t="str">
        <f t="shared" si="2"/>
        <v>Yes</v>
      </c>
      <c r="H19" s="133" t="str">
        <f t="shared" si="3"/>
        <v>100% Overhead</v>
      </c>
    </row>
    <row r="20" spans="1:8" ht="15" x14ac:dyDescent="0.25">
      <c r="A20" s="101" t="s">
        <v>170</v>
      </c>
      <c r="B20" s="102">
        <v>976</v>
      </c>
      <c r="C20" s="132">
        <v>-73</v>
      </c>
      <c r="E20" s="34">
        <f t="shared" si="0"/>
        <v>903</v>
      </c>
      <c r="F20" s="18">
        <f t="shared" si="1"/>
        <v>0.10350402648503976</v>
      </c>
      <c r="G20" s="122" t="str">
        <f t="shared" si="2"/>
        <v>Yes</v>
      </c>
      <c r="H20" s="122" t="str">
        <f t="shared" si="3"/>
        <v xml:space="preserve"> </v>
      </c>
    </row>
    <row r="21" spans="1:8" ht="15" x14ac:dyDescent="0.25">
      <c r="A21" s="101" t="s">
        <v>171</v>
      </c>
      <c r="B21" s="102">
        <v>178</v>
      </c>
      <c r="C21" s="132"/>
      <c r="E21" s="34">
        <f t="shared" si="0"/>
        <v>178</v>
      </c>
      <c r="F21" s="18">
        <f t="shared" si="1"/>
        <v>2.0402787059066532E-2</v>
      </c>
      <c r="G21" s="122" t="str">
        <f t="shared" si="2"/>
        <v>Yes</v>
      </c>
      <c r="H21" s="122" t="str">
        <f t="shared" si="3"/>
        <v xml:space="preserve"> </v>
      </c>
    </row>
    <row r="22" spans="1:8" ht="15" x14ac:dyDescent="0.25">
      <c r="A22" s="101" t="s">
        <v>173</v>
      </c>
      <c r="B22" s="102">
        <v>424</v>
      </c>
      <c r="C22" s="132">
        <v>-22</v>
      </c>
      <c r="E22" s="34">
        <f t="shared" si="0"/>
        <v>402</v>
      </c>
      <c r="F22" s="18">
        <f t="shared" si="1"/>
        <v>4.607820448171205E-2</v>
      </c>
      <c r="G22" s="122" t="str">
        <f t="shared" si="2"/>
        <v>Yes</v>
      </c>
      <c r="H22" s="122" t="str">
        <f t="shared" si="3"/>
        <v xml:space="preserve"> </v>
      </c>
    </row>
    <row r="23" spans="1:8" ht="15" x14ac:dyDescent="0.25">
      <c r="A23" s="101" t="s">
        <v>181</v>
      </c>
      <c r="B23" s="102">
        <v>5</v>
      </c>
      <c r="C23" s="132"/>
      <c r="D23" s="28">
        <v>-5</v>
      </c>
      <c r="E23" s="34">
        <f t="shared" si="0"/>
        <v>0</v>
      </c>
      <c r="F23" s="18">
        <f t="shared" si="1"/>
        <v>0</v>
      </c>
      <c r="G23" s="122" t="str">
        <f t="shared" si="2"/>
        <v>Yes</v>
      </c>
      <c r="H23" s="133" t="str">
        <f t="shared" si="3"/>
        <v>Fixed at $25,000 (hardcoded in Model)</v>
      </c>
    </row>
    <row r="24" spans="1:8" ht="15" x14ac:dyDescent="0.25">
      <c r="A24" s="101" t="s">
        <v>205</v>
      </c>
      <c r="B24" s="102">
        <v>31</v>
      </c>
      <c r="C24" s="132">
        <v>-2</v>
      </c>
      <c r="E24" s="34">
        <f t="shared" si="0"/>
        <v>29</v>
      </c>
      <c r="F24" s="18">
        <f t="shared" si="1"/>
        <v>3.3240495770389292E-3</v>
      </c>
      <c r="G24" s="122" t="str">
        <f t="shared" si="2"/>
        <v>Yes</v>
      </c>
      <c r="H24" s="122" t="str">
        <f t="shared" si="3"/>
        <v xml:space="preserve"> </v>
      </c>
    </row>
    <row r="25" spans="1:8" ht="15" x14ac:dyDescent="0.25">
      <c r="A25" s="101" t="s">
        <v>207</v>
      </c>
      <c r="B25" s="102">
        <v>618</v>
      </c>
      <c r="C25" s="132">
        <v>-34</v>
      </c>
      <c r="E25" s="34">
        <f t="shared" si="0"/>
        <v>584</v>
      </c>
      <c r="F25" s="18">
        <f t="shared" si="1"/>
        <v>6.6939481137611542E-2</v>
      </c>
      <c r="G25" s="122" t="str">
        <f t="shared" si="2"/>
        <v>Yes</v>
      </c>
      <c r="H25" s="122" t="str">
        <f t="shared" si="3"/>
        <v xml:space="preserve"> </v>
      </c>
    </row>
    <row r="26" spans="1:8" ht="15" x14ac:dyDescent="0.25">
      <c r="A26" s="101" t="s">
        <v>208</v>
      </c>
      <c r="B26" s="102">
        <v>5</v>
      </c>
      <c r="C26" s="132"/>
      <c r="E26" s="34">
        <f t="shared" si="0"/>
        <v>5</v>
      </c>
      <c r="F26" s="18">
        <f t="shared" si="1"/>
        <v>5.7311199604119468E-4</v>
      </c>
      <c r="G26" s="122" t="str">
        <f t="shared" si="2"/>
        <v>Yes</v>
      </c>
      <c r="H26" s="122" t="str">
        <f t="shared" si="3"/>
        <v xml:space="preserve"> </v>
      </c>
    </row>
    <row r="27" spans="1:8" ht="15" x14ac:dyDescent="0.25">
      <c r="A27" s="101" t="s">
        <v>209</v>
      </c>
      <c r="B27" s="102">
        <v>671</v>
      </c>
      <c r="C27" s="132">
        <v>-64</v>
      </c>
      <c r="E27" s="34">
        <f t="shared" si="0"/>
        <v>607</v>
      </c>
      <c r="F27" s="18">
        <f t="shared" si="1"/>
        <v>6.9575796319401029E-2</v>
      </c>
      <c r="G27" s="122" t="str">
        <f t="shared" si="2"/>
        <v>Yes</v>
      </c>
      <c r="H27" s="122" t="str">
        <f t="shared" si="3"/>
        <v xml:space="preserve"> </v>
      </c>
    </row>
    <row r="28" spans="1:8" ht="15" x14ac:dyDescent="0.25">
      <c r="A28" s="101" t="s">
        <v>210</v>
      </c>
      <c r="B28" s="102">
        <v>131</v>
      </c>
      <c r="C28" s="132">
        <v>-92</v>
      </c>
      <c r="E28" s="34">
        <f t="shared" si="0"/>
        <v>39</v>
      </c>
      <c r="F28" s="18">
        <f t="shared" si="1"/>
        <v>4.4702735691213181E-3</v>
      </c>
      <c r="G28" s="122" t="str">
        <f t="shared" si="2"/>
        <v>Yes</v>
      </c>
      <c r="H28" s="122" t="str">
        <f t="shared" si="3"/>
        <v xml:space="preserve"> </v>
      </c>
    </row>
    <row r="29" spans="1:8" ht="15" x14ac:dyDescent="0.25">
      <c r="A29" s="101" t="s">
        <v>211</v>
      </c>
      <c r="B29" s="102">
        <v>165</v>
      </c>
      <c r="C29" s="132">
        <v>-145</v>
      </c>
      <c r="E29" s="34">
        <f t="shared" si="0"/>
        <v>20</v>
      </c>
      <c r="F29" s="18">
        <f t="shared" si="1"/>
        <v>2.2924479841647787E-3</v>
      </c>
      <c r="G29" s="122" t="str">
        <f t="shared" si="2"/>
        <v>Yes</v>
      </c>
      <c r="H29" s="122" t="str">
        <f t="shared" si="3"/>
        <v xml:space="preserve"> </v>
      </c>
    </row>
    <row r="30" spans="1:8" ht="15" x14ac:dyDescent="0.25">
      <c r="A30" s="101" t="s">
        <v>212</v>
      </c>
      <c r="B30" s="102">
        <v>25</v>
      </c>
      <c r="C30" s="132">
        <v>-1</v>
      </c>
      <c r="E30" s="34">
        <f t="shared" si="0"/>
        <v>24</v>
      </c>
      <c r="F30" s="18">
        <f t="shared" si="1"/>
        <v>2.7509375809977345E-3</v>
      </c>
      <c r="G30" s="122" t="str">
        <f t="shared" si="2"/>
        <v>Yes</v>
      </c>
      <c r="H30" s="122" t="str">
        <f t="shared" si="3"/>
        <v xml:space="preserve"> </v>
      </c>
    </row>
    <row r="31" spans="1:8" ht="15" x14ac:dyDescent="0.25">
      <c r="A31" s="101" t="s">
        <v>214</v>
      </c>
      <c r="B31" s="102">
        <v>4</v>
      </c>
      <c r="C31" s="132">
        <v>-1</v>
      </c>
      <c r="E31" s="34">
        <f t="shared" si="0"/>
        <v>3</v>
      </c>
      <c r="F31" s="18">
        <f t="shared" si="1"/>
        <v>3.4386719762471681E-4</v>
      </c>
      <c r="G31" s="122" t="str">
        <f t="shared" si="2"/>
        <v>Yes</v>
      </c>
      <c r="H31" s="122" t="str">
        <f t="shared" si="3"/>
        <v xml:space="preserve"> </v>
      </c>
    </row>
    <row r="32" spans="1:8" ht="15" x14ac:dyDescent="0.25">
      <c r="A32" s="101" t="s">
        <v>215</v>
      </c>
      <c r="B32" s="102">
        <v>3</v>
      </c>
      <c r="C32" s="132"/>
      <c r="E32" s="34">
        <f t="shared" si="0"/>
        <v>3</v>
      </c>
      <c r="F32" s="18">
        <f t="shared" si="1"/>
        <v>3.4386719762471681E-4</v>
      </c>
      <c r="G32" s="122" t="str">
        <f t="shared" si="2"/>
        <v>Yes</v>
      </c>
      <c r="H32" s="122" t="str">
        <f t="shared" si="3"/>
        <v xml:space="preserve"> </v>
      </c>
    </row>
    <row r="33" spans="1:8" ht="15" x14ac:dyDescent="0.25">
      <c r="A33" s="101" t="s">
        <v>216</v>
      </c>
      <c r="B33" s="102">
        <v>15</v>
      </c>
      <c r="C33" s="132">
        <v>-2</v>
      </c>
      <c r="E33" s="34">
        <f t="shared" si="0"/>
        <v>13</v>
      </c>
      <c r="F33" s="18">
        <f t="shared" si="1"/>
        <v>1.4900911897071062E-3</v>
      </c>
      <c r="G33" s="122" t="str">
        <f t="shared" si="2"/>
        <v>Yes</v>
      </c>
      <c r="H33" s="122" t="str">
        <f t="shared" si="3"/>
        <v>Excludes insurance claim payouts (529721 in subfund 700000 and 521900 in subfund 700001)</v>
      </c>
    </row>
    <row r="34" spans="1:8" ht="15" x14ac:dyDescent="0.25">
      <c r="A34" s="101" t="s">
        <v>217</v>
      </c>
      <c r="B34" s="102">
        <v>45</v>
      </c>
      <c r="C34" s="132">
        <v>-1</v>
      </c>
      <c r="E34" s="34">
        <f t="shared" si="0"/>
        <v>44</v>
      </c>
      <c r="F34" s="18">
        <f t="shared" si="1"/>
        <v>5.0433855651625132E-3</v>
      </c>
      <c r="G34" s="122" t="str">
        <f t="shared" si="2"/>
        <v>Yes</v>
      </c>
      <c r="H34" s="122" t="str">
        <f t="shared" si="3"/>
        <v xml:space="preserve"> </v>
      </c>
    </row>
    <row r="35" spans="1:8" ht="15" x14ac:dyDescent="0.25">
      <c r="A35" s="101" t="s">
        <v>218</v>
      </c>
      <c r="B35" s="102">
        <v>77</v>
      </c>
      <c r="C35" s="132"/>
      <c r="E35" s="34">
        <f t="shared" si="0"/>
        <v>77</v>
      </c>
      <c r="F35" s="18">
        <f t="shared" si="1"/>
        <v>8.8259247390343985E-3</v>
      </c>
      <c r="G35" s="122" t="str">
        <f t="shared" si="2"/>
        <v>Yes</v>
      </c>
      <c r="H35" s="122" t="str">
        <f t="shared" si="3"/>
        <v xml:space="preserve"> </v>
      </c>
    </row>
    <row r="36" spans="1:8" ht="15" x14ac:dyDescent="0.25">
      <c r="A36" s="101" t="s">
        <v>219</v>
      </c>
      <c r="B36" s="102">
        <v>23</v>
      </c>
      <c r="C36" s="132">
        <v>-2</v>
      </c>
      <c r="E36" s="34">
        <f t="shared" si="0"/>
        <v>21</v>
      </c>
      <c r="F36" s="18">
        <f t="shared" si="1"/>
        <v>2.4070703833730177E-3</v>
      </c>
      <c r="G36" s="122" t="str">
        <f t="shared" si="2"/>
        <v>Yes</v>
      </c>
      <c r="H36" s="122" t="str">
        <f t="shared" si="3"/>
        <v xml:space="preserve"> </v>
      </c>
    </row>
    <row r="37" spans="1:8" ht="15" x14ac:dyDescent="0.25">
      <c r="A37" s="101" t="s">
        <v>220</v>
      </c>
      <c r="B37" s="102">
        <v>17</v>
      </c>
      <c r="C37" s="132">
        <v>-2</v>
      </c>
      <c r="E37" s="34">
        <f t="shared" si="0"/>
        <v>15</v>
      </c>
      <c r="F37" s="18">
        <f t="shared" si="1"/>
        <v>1.719335988123584E-3</v>
      </c>
      <c r="G37" s="122" t="str">
        <f t="shared" si="2"/>
        <v>Yes</v>
      </c>
      <c r="H37" s="122" t="str">
        <f t="shared" si="3"/>
        <v>Excludes risk mgmt claim payouts (529700)</v>
      </c>
    </row>
    <row r="38" spans="1:8" ht="15" x14ac:dyDescent="0.25">
      <c r="A38" s="101" t="s">
        <v>221</v>
      </c>
      <c r="B38" s="102">
        <v>6</v>
      </c>
      <c r="C38" s="132"/>
      <c r="E38" s="34">
        <f t="shared" si="0"/>
        <v>6</v>
      </c>
      <c r="F38" s="18">
        <f t="shared" si="1"/>
        <v>6.8773439524943362E-4</v>
      </c>
      <c r="G38" s="122" t="str">
        <f t="shared" si="2"/>
        <v>Yes</v>
      </c>
      <c r="H38" s="122" t="str">
        <f t="shared" si="3"/>
        <v>Excludes risk mgmt claim payouts (529700)</v>
      </c>
    </row>
    <row r="39" spans="1:8" ht="15" x14ac:dyDescent="0.25">
      <c r="A39" s="101" t="s">
        <v>222</v>
      </c>
      <c r="B39" s="102">
        <v>241</v>
      </c>
      <c r="C39" s="132">
        <v>-10</v>
      </c>
      <c r="E39" s="34">
        <f t="shared" si="0"/>
        <v>231</v>
      </c>
      <c r="F39" s="18">
        <f t="shared" si="1"/>
        <v>2.6477774217103192E-2</v>
      </c>
      <c r="G39" s="122" t="str">
        <f t="shared" si="2"/>
        <v>Yes</v>
      </c>
      <c r="H39" s="122" t="str">
        <f t="shared" si="3"/>
        <v xml:space="preserve"> </v>
      </c>
    </row>
    <row r="40" spans="1:8" ht="15" x14ac:dyDescent="0.25">
      <c r="A40" s="101" t="s">
        <v>223</v>
      </c>
      <c r="B40" s="102">
        <v>18</v>
      </c>
      <c r="C40" s="132"/>
      <c r="E40" s="34">
        <f t="shared" si="0"/>
        <v>18</v>
      </c>
      <c r="F40" s="18">
        <f t="shared" si="1"/>
        <v>2.0632031857483009E-3</v>
      </c>
      <c r="G40" s="122" t="str">
        <f t="shared" si="2"/>
        <v>Yes</v>
      </c>
      <c r="H40" s="122" t="str">
        <f t="shared" si="3"/>
        <v xml:space="preserve"> </v>
      </c>
    </row>
    <row r="41" spans="1:8" ht="15" x14ac:dyDescent="0.25">
      <c r="A41" s="101" t="s">
        <v>224</v>
      </c>
      <c r="B41" s="102">
        <v>17</v>
      </c>
      <c r="C41" s="132"/>
      <c r="E41" s="34">
        <f t="shared" si="0"/>
        <v>17</v>
      </c>
      <c r="F41" s="18">
        <f t="shared" si="1"/>
        <v>1.9485807865400619E-3</v>
      </c>
      <c r="G41" s="122" t="str">
        <f t="shared" si="2"/>
        <v>Yes</v>
      </c>
      <c r="H41" s="131"/>
    </row>
    <row r="42" spans="1:8" ht="15" x14ac:dyDescent="0.25">
      <c r="A42" s="136"/>
      <c r="B42" s="122">
        <f>SUM(B2:B41)</f>
        <v>12132</v>
      </c>
      <c r="D42" s="122"/>
      <c r="E42" s="122"/>
      <c r="F42" s="137">
        <f>SUM(F2:F41)</f>
        <v>0.99999999999999989</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2"/>
  <sheetViews>
    <sheetView topLeftCell="A7" zoomScaleNormal="100" workbookViewId="0">
      <selection activeCell="K39" sqref="K39"/>
    </sheetView>
  </sheetViews>
  <sheetFormatPr defaultRowHeight="12.75" x14ac:dyDescent="0.2"/>
  <cols>
    <col min="1" max="1" width="45.28515625" bestFit="1" customWidth="1"/>
    <col min="2" max="2" width="14.28515625" bestFit="1" customWidth="1"/>
    <col min="3" max="3" width="13.28515625" style="32" customWidth="1"/>
    <col min="4" max="5" width="14.28515625" bestFit="1" customWidth="1"/>
    <col min="6" max="6" width="13.5703125" bestFit="1" customWidth="1"/>
    <col min="7" max="7" width="9.5703125" bestFit="1" customWidth="1"/>
    <col min="8" max="9" width="11.28515625" bestFit="1" customWidth="1"/>
    <col min="10" max="10" width="9.5703125" bestFit="1" customWidth="1"/>
    <col min="12" max="13" width="11.42578125" bestFit="1" customWidth="1"/>
  </cols>
  <sheetData>
    <row r="1" spans="1:14" s="32" customFormat="1" ht="18" x14ac:dyDescent="0.25">
      <c r="A1" s="164" t="s">
        <v>496</v>
      </c>
      <c r="B1" s="164"/>
      <c r="C1" s="164"/>
      <c r="D1" s="164"/>
    </row>
    <row r="2" spans="1:14" s="32" customFormat="1" x14ac:dyDescent="0.2"/>
    <row r="3" spans="1:14" s="66" customFormat="1" ht="25.5" x14ac:dyDescent="0.2">
      <c r="A3" s="75" t="s">
        <v>147</v>
      </c>
      <c r="B3" s="75" t="s">
        <v>454</v>
      </c>
      <c r="C3" s="75" t="s">
        <v>549</v>
      </c>
      <c r="D3" s="75" t="s">
        <v>418</v>
      </c>
    </row>
    <row r="4" spans="1:14" x14ac:dyDescent="0.2">
      <c r="A4" s="36" t="s">
        <v>345</v>
      </c>
      <c r="B4" s="9">
        <v>26681856.543196894</v>
      </c>
      <c r="C4" s="28"/>
      <c r="D4" s="9">
        <f>SUM(B4:C4)</f>
        <v>26681856.543196894</v>
      </c>
      <c r="E4" s="40"/>
      <c r="F4" s="9"/>
      <c r="G4" s="9"/>
      <c r="J4" s="9"/>
      <c r="L4" s="9"/>
      <c r="M4" s="9"/>
      <c r="N4" s="9"/>
    </row>
    <row r="5" spans="1:14" x14ac:dyDescent="0.2">
      <c r="A5" s="36" t="s">
        <v>346</v>
      </c>
      <c r="B5" s="9">
        <v>7275609</v>
      </c>
      <c r="C5" s="28"/>
      <c r="D5" s="9">
        <v>7272549</v>
      </c>
      <c r="E5" s="40"/>
      <c r="F5" s="9"/>
      <c r="G5" s="9"/>
      <c r="H5" s="9"/>
      <c r="I5" s="9"/>
      <c r="J5" s="9"/>
      <c r="L5" s="9"/>
      <c r="M5" s="9"/>
      <c r="N5" s="9"/>
    </row>
    <row r="6" spans="1:14" x14ac:dyDescent="0.2">
      <c r="A6" s="36" t="s">
        <v>347</v>
      </c>
      <c r="B6" s="9">
        <v>993585</v>
      </c>
      <c r="C6" s="28"/>
      <c r="D6" s="9">
        <v>993168</v>
      </c>
      <c r="E6" s="40"/>
      <c r="F6" s="9"/>
      <c r="G6" s="9"/>
      <c r="H6" s="9"/>
      <c r="I6" s="9"/>
      <c r="J6" s="9"/>
      <c r="K6" s="78"/>
      <c r="L6" s="9"/>
      <c r="M6" s="9"/>
      <c r="N6" s="9"/>
    </row>
    <row r="7" spans="1:14" x14ac:dyDescent="0.2">
      <c r="A7" s="36" t="s">
        <v>348</v>
      </c>
      <c r="B7" s="9">
        <v>2241205</v>
      </c>
      <c r="C7" s="28"/>
      <c r="D7" s="9">
        <v>2240263</v>
      </c>
      <c r="E7" s="40"/>
      <c r="F7" s="9"/>
      <c r="G7" s="9"/>
      <c r="H7" s="9"/>
      <c r="I7" s="9"/>
      <c r="J7" s="9"/>
      <c r="K7" s="78"/>
      <c r="L7" s="9"/>
      <c r="M7" s="9"/>
      <c r="N7" s="9"/>
    </row>
    <row r="8" spans="1:14" x14ac:dyDescent="0.2">
      <c r="A8" s="36" t="s">
        <v>349</v>
      </c>
      <c r="B8" s="9">
        <v>25000</v>
      </c>
      <c r="C8" s="28"/>
      <c r="D8" s="9">
        <v>25000</v>
      </c>
      <c r="E8" s="40"/>
      <c r="F8" s="9"/>
      <c r="G8" s="9"/>
      <c r="H8" s="9"/>
      <c r="I8" s="9"/>
      <c r="J8" s="9"/>
      <c r="K8" s="78"/>
      <c r="L8" s="9"/>
      <c r="M8" s="9"/>
      <c r="N8" s="9"/>
    </row>
    <row r="9" spans="1:14" x14ac:dyDescent="0.2">
      <c r="A9" s="36" t="s">
        <v>411</v>
      </c>
      <c r="B9" s="9">
        <v>25000</v>
      </c>
      <c r="C9" s="28"/>
      <c r="D9" s="9">
        <v>25000</v>
      </c>
      <c r="E9" s="40"/>
      <c r="F9" s="9"/>
      <c r="G9" s="9"/>
      <c r="H9" s="9"/>
      <c r="I9" s="9"/>
      <c r="J9" s="79"/>
      <c r="K9" s="78"/>
      <c r="L9" s="9"/>
      <c r="M9" s="9"/>
      <c r="N9" s="9"/>
    </row>
    <row r="10" spans="1:14" x14ac:dyDescent="0.2">
      <c r="A10" s="36" t="s">
        <v>350</v>
      </c>
      <c r="B10" s="9">
        <v>25000</v>
      </c>
      <c r="C10" s="28"/>
      <c r="D10" s="9">
        <v>25000</v>
      </c>
      <c r="E10" s="40"/>
      <c r="F10" s="9"/>
      <c r="G10" s="9"/>
      <c r="H10" s="9"/>
      <c r="I10" s="9"/>
      <c r="J10" s="9"/>
      <c r="K10" s="78"/>
      <c r="L10" s="9"/>
      <c r="M10" s="9"/>
      <c r="N10" s="9"/>
    </row>
    <row r="11" spans="1:14" x14ac:dyDescent="0.2">
      <c r="A11" s="36" t="s">
        <v>351</v>
      </c>
      <c r="B11" s="9">
        <v>82076</v>
      </c>
      <c r="C11" s="28"/>
      <c r="D11" s="9">
        <v>82041</v>
      </c>
      <c r="E11" s="40"/>
      <c r="F11" s="9"/>
      <c r="G11" s="9"/>
      <c r="H11" s="9"/>
      <c r="I11" s="9"/>
      <c r="J11" s="9"/>
      <c r="L11" s="9"/>
      <c r="M11" s="9"/>
      <c r="N11" s="9"/>
    </row>
    <row r="12" spans="1:14" x14ac:dyDescent="0.2">
      <c r="A12" s="36" t="s">
        <v>352</v>
      </c>
      <c r="B12" s="9">
        <v>7094</v>
      </c>
      <c r="C12" s="28"/>
      <c r="D12" s="9">
        <v>7091</v>
      </c>
      <c r="E12" s="40"/>
      <c r="F12" s="9"/>
      <c r="G12" s="9"/>
      <c r="H12" s="9"/>
      <c r="I12" s="9"/>
      <c r="J12" s="9"/>
      <c r="L12" s="9"/>
      <c r="M12" s="9"/>
      <c r="N12" s="9"/>
    </row>
    <row r="13" spans="1:14" x14ac:dyDescent="0.2">
      <c r="A13" s="36" t="s">
        <v>353</v>
      </c>
      <c r="B13" s="9">
        <v>25000</v>
      </c>
      <c r="C13" s="28"/>
      <c r="D13" s="9">
        <v>25000</v>
      </c>
      <c r="E13" s="40"/>
      <c r="F13" s="9"/>
      <c r="G13" s="9"/>
      <c r="H13" s="9"/>
      <c r="I13" s="9"/>
      <c r="J13" s="9"/>
      <c r="L13" s="9"/>
      <c r="M13" s="9"/>
      <c r="N13" s="9"/>
    </row>
    <row r="14" spans="1:14" x14ac:dyDescent="0.2">
      <c r="A14" s="36" t="s">
        <v>354</v>
      </c>
      <c r="B14" s="9">
        <v>661388</v>
      </c>
      <c r="C14" s="28"/>
      <c r="D14" s="9">
        <v>661110</v>
      </c>
      <c r="E14" s="40"/>
      <c r="F14" s="9"/>
      <c r="G14" s="9"/>
      <c r="H14" s="9"/>
      <c r="I14" s="9"/>
      <c r="J14" s="9"/>
      <c r="L14" s="9"/>
      <c r="M14" s="9"/>
      <c r="N14" s="9"/>
    </row>
    <row r="15" spans="1:14" x14ac:dyDescent="0.2">
      <c r="A15" s="36" t="s">
        <v>412</v>
      </c>
      <c r="B15" s="9">
        <v>25000</v>
      </c>
      <c r="C15" s="28"/>
      <c r="D15" s="9">
        <v>25000</v>
      </c>
      <c r="E15" s="40"/>
      <c r="F15" s="9"/>
      <c r="G15" s="9"/>
      <c r="H15" s="9"/>
      <c r="I15" s="9"/>
      <c r="J15" s="9"/>
      <c r="L15" s="9"/>
      <c r="M15" s="9"/>
      <c r="N15" s="9"/>
    </row>
    <row r="16" spans="1:14" x14ac:dyDescent="0.2">
      <c r="A16" s="36" t="s">
        <v>436</v>
      </c>
      <c r="B16" s="9">
        <v>78</v>
      </c>
      <c r="C16" s="28"/>
      <c r="D16" s="9">
        <v>78</v>
      </c>
      <c r="E16" s="40"/>
      <c r="F16" s="9"/>
      <c r="G16" s="9"/>
      <c r="H16" s="9"/>
      <c r="I16" s="9"/>
      <c r="J16" s="9"/>
      <c r="L16" s="9"/>
      <c r="M16" s="9"/>
      <c r="N16" s="9"/>
    </row>
    <row r="17" spans="1:14" x14ac:dyDescent="0.2">
      <c r="A17" s="36" t="s">
        <v>355</v>
      </c>
      <c r="B17" s="9">
        <v>11491</v>
      </c>
      <c r="C17" s="28"/>
      <c r="D17" s="9">
        <v>11487</v>
      </c>
      <c r="E17" s="40"/>
      <c r="F17" s="9"/>
      <c r="G17" s="9"/>
      <c r="H17" s="9"/>
      <c r="I17" s="9"/>
      <c r="J17" s="9"/>
      <c r="L17" s="9"/>
      <c r="M17" s="9"/>
      <c r="N17" s="9"/>
    </row>
    <row r="18" spans="1:14" x14ac:dyDescent="0.2">
      <c r="A18" s="36" t="s">
        <v>356</v>
      </c>
      <c r="B18" s="9">
        <v>141</v>
      </c>
      <c r="C18" s="28"/>
      <c r="D18" s="9">
        <v>141</v>
      </c>
      <c r="E18" s="40"/>
      <c r="F18" s="9"/>
      <c r="G18" s="9"/>
      <c r="H18" s="9"/>
      <c r="I18" s="9"/>
      <c r="J18" s="9"/>
      <c r="L18" s="9"/>
      <c r="M18" s="9"/>
      <c r="N18" s="9"/>
    </row>
    <row r="19" spans="1:14" x14ac:dyDescent="0.2">
      <c r="A19" s="36" t="s">
        <v>357</v>
      </c>
      <c r="B19" s="9">
        <v>527265</v>
      </c>
      <c r="C19" s="28"/>
      <c r="D19" s="9">
        <v>527043</v>
      </c>
      <c r="E19" s="40"/>
      <c r="F19" s="9"/>
      <c r="G19" s="9"/>
      <c r="H19" s="9"/>
      <c r="I19" s="9"/>
      <c r="J19" s="9"/>
      <c r="L19" s="9"/>
      <c r="M19" s="9"/>
      <c r="N19" s="9"/>
    </row>
    <row r="20" spans="1:14" x14ac:dyDescent="0.2">
      <c r="A20" s="36" t="s">
        <v>358</v>
      </c>
      <c r="B20" s="9">
        <v>159887</v>
      </c>
      <c r="C20" s="28"/>
      <c r="D20" s="9">
        <v>159819</v>
      </c>
      <c r="E20" s="40"/>
      <c r="F20" s="9"/>
      <c r="G20" s="9"/>
      <c r="H20" s="9"/>
      <c r="I20" s="9"/>
      <c r="J20" s="9"/>
      <c r="L20" s="9"/>
      <c r="M20" s="9"/>
      <c r="N20" s="9"/>
    </row>
    <row r="21" spans="1:14" x14ac:dyDescent="0.2">
      <c r="A21" s="36" t="s">
        <v>359</v>
      </c>
      <c r="B21" s="9">
        <v>6602291</v>
      </c>
      <c r="C21" s="28"/>
      <c r="D21" s="9">
        <v>6599515</v>
      </c>
      <c r="E21" s="40"/>
      <c r="F21" s="9"/>
      <c r="G21" s="9"/>
      <c r="H21" s="9"/>
      <c r="I21" s="9"/>
      <c r="J21" s="9"/>
      <c r="L21" s="9"/>
      <c r="M21" s="9"/>
      <c r="N21" s="9"/>
    </row>
    <row r="22" spans="1:14" x14ac:dyDescent="0.2">
      <c r="A22" s="36" t="s">
        <v>360</v>
      </c>
      <c r="B22" s="9">
        <v>31945</v>
      </c>
      <c r="C22" s="28"/>
      <c r="D22" s="9">
        <v>31932</v>
      </c>
      <c r="E22" s="40"/>
      <c r="F22" s="9"/>
      <c r="G22" s="9"/>
      <c r="H22" s="9"/>
      <c r="I22" s="9"/>
      <c r="J22" s="9"/>
      <c r="L22" s="9"/>
      <c r="M22" s="9"/>
      <c r="N22" s="9"/>
    </row>
    <row r="23" spans="1:14" x14ac:dyDescent="0.2">
      <c r="A23" s="36" t="s">
        <v>361</v>
      </c>
      <c r="B23" s="9">
        <v>5238952</v>
      </c>
      <c r="C23" s="28"/>
      <c r="D23" s="9">
        <v>5236748</v>
      </c>
      <c r="E23" s="40"/>
      <c r="F23" s="9"/>
      <c r="G23" s="9"/>
      <c r="H23" s="9"/>
      <c r="I23" s="9"/>
      <c r="J23" s="9"/>
      <c r="L23" s="9"/>
      <c r="M23" s="9"/>
      <c r="N23" s="9"/>
    </row>
    <row r="24" spans="1:14" x14ac:dyDescent="0.2">
      <c r="A24" s="36" t="s">
        <v>362</v>
      </c>
      <c r="B24" s="9">
        <v>431433</v>
      </c>
      <c r="C24" s="28"/>
      <c r="D24" s="9">
        <v>431252</v>
      </c>
      <c r="E24" s="40"/>
      <c r="F24" s="9"/>
      <c r="G24" s="9"/>
      <c r="H24" s="9"/>
      <c r="I24" s="9"/>
      <c r="J24" s="9"/>
      <c r="L24" s="9"/>
      <c r="M24" s="9"/>
      <c r="N24" s="9"/>
    </row>
    <row r="25" spans="1:14" x14ac:dyDescent="0.2">
      <c r="A25" s="36" t="s">
        <v>363</v>
      </c>
      <c r="B25" s="9">
        <v>73355</v>
      </c>
      <c r="C25" s="28"/>
      <c r="D25" s="9">
        <v>73325</v>
      </c>
      <c r="E25" s="40"/>
      <c r="F25" s="9"/>
      <c r="G25" s="9"/>
      <c r="H25" s="9"/>
      <c r="I25" s="9"/>
      <c r="J25" s="9"/>
      <c r="L25" s="9"/>
      <c r="M25" s="9"/>
      <c r="N25" s="9"/>
    </row>
    <row r="26" spans="1:14" x14ac:dyDescent="0.2">
      <c r="A26" s="36" t="s">
        <v>364</v>
      </c>
      <c r="B26" s="9">
        <v>193588</v>
      </c>
      <c r="C26" s="28"/>
      <c r="D26" s="9">
        <v>193506</v>
      </c>
      <c r="E26" s="40"/>
      <c r="F26" s="9"/>
      <c r="G26" s="9"/>
      <c r="H26" s="9"/>
      <c r="I26" s="9"/>
      <c r="J26" s="9"/>
      <c r="L26" s="9"/>
      <c r="M26" s="9"/>
      <c r="N26" s="9"/>
    </row>
    <row r="27" spans="1:14" x14ac:dyDescent="0.2">
      <c r="A27" s="36" t="s">
        <v>365</v>
      </c>
      <c r="B27" s="9">
        <v>206456</v>
      </c>
      <c r="C27" s="28"/>
      <c r="D27" s="9">
        <v>206370</v>
      </c>
      <c r="E27" s="40"/>
      <c r="F27" s="9"/>
      <c r="G27" s="9"/>
      <c r="H27" s="9"/>
      <c r="I27" s="9"/>
      <c r="J27" s="9"/>
      <c r="L27" s="9"/>
      <c r="M27" s="9"/>
      <c r="N27" s="9"/>
    </row>
    <row r="28" spans="1:14" x14ac:dyDescent="0.2">
      <c r="A28" s="36" t="s">
        <v>366</v>
      </c>
      <c r="B28" s="9">
        <v>188875</v>
      </c>
      <c r="C28" s="28"/>
      <c r="D28" s="9">
        <v>188796</v>
      </c>
      <c r="E28" s="40"/>
      <c r="F28" s="9"/>
      <c r="G28" s="9"/>
      <c r="H28" s="9"/>
      <c r="I28" s="9"/>
      <c r="J28" s="9"/>
      <c r="L28" s="9"/>
      <c r="M28" s="9"/>
      <c r="N28" s="9"/>
    </row>
    <row r="29" spans="1:14" x14ac:dyDescent="0.2">
      <c r="A29" s="36" t="s">
        <v>367</v>
      </c>
      <c r="B29" s="9">
        <v>102874</v>
      </c>
      <c r="C29" s="28"/>
      <c r="D29" s="9">
        <v>102831</v>
      </c>
      <c r="E29" s="40"/>
      <c r="F29" s="9"/>
      <c r="G29" s="9"/>
      <c r="H29" s="9"/>
      <c r="I29" s="9"/>
      <c r="J29" s="9"/>
      <c r="L29" s="9"/>
      <c r="M29" s="9"/>
      <c r="N29" s="9"/>
    </row>
    <row r="30" spans="1:14" x14ac:dyDescent="0.2">
      <c r="A30" s="36" t="s">
        <v>368</v>
      </c>
      <c r="B30" s="9">
        <v>316145</v>
      </c>
      <c r="C30" s="28"/>
      <c r="D30" s="9">
        <v>316012</v>
      </c>
      <c r="E30" s="40"/>
      <c r="F30" s="9"/>
      <c r="G30" s="9"/>
      <c r="H30" s="9"/>
      <c r="I30" s="9"/>
      <c r="J30" s="9"/>
      <c r="L30" s="9"/>
      <c r="M30" s="9"/>
      <c r="N30" s="9"/>
    </row>
    <row r="31" spans="1:14" x14ac:dyDescent="0.2">
      <c r="A31" s="36" t="s">
        <v>369</v>
      </c>
      <c r="B31" s="9">
        <v>1035631</v>
      </c>
      <c r="C31" s="28"/>
      <c r="D31" s="9">
        <v>1035196</v>
      </c>
      <c r="E31" s="40"/>
      <c r="F31" s="9"/>
      <c r="G31" s="9"/>
      <c r="H31" s="9"/>
      <c r="I31" s="9"/>
      <c r="J31" s="9"/>
      <c r="L31" s="9"/>
      <c r="M31" s="9"/>
      <c r="N31" s="9"/>
    </row>
    <row r="32" spans="1:14" x14ac:dyDescent="0.2">
      <c r="A32" s="36" t="s">
        <v>370</v>
      </c>
      <c r="B32" s="9">
        <v>1203941</v>
      </c>
      <c r="C32" s="28"/>
      <c r="D32" s="9">
        <v>1203435</v>
      </c>
      <c r="E32" s="40"/>
      <c r="F32" s="9"/>
      <c r="G32" s="9"/>
      <c r="H32" s="9"/>
      <c r="I32" s="9"/>
      <c r="J32" s="9"/>
      <c r="L32" s="9"/>
      <c r="M32" s="9"/>
      <c r="N32" s="9"/>
    </row>
    <row r="33" spans="1:14" x14ac:dyDescent="0.2">
      <c r="A33" s="36" t="s">
        <v>371</v>
      </c>
      <c r="B33" s="9">
        <v>275233</v>
      </c>
      <c r="C33" s="28"/>
      <c r="D33" s="9">
        <v>275117</v>
      </c>
      <c r="E33" s="40"/>
      <c r="F33" s="9"/>
      <c r="G33" s="9"/>
      <c r="H33" s="9"/>
      <c r="I33" s="9"/>
      <c r="J33" s="9"/>
      <c r="L33" s="9"/>
      <c r="M33" s="9"/>
      <c r="N33" s="9"/>
    </row>
    <row r="34" spans="1:14" x14ac:dyDescent="0.2">
      <c r="A34" s="36" t="s">
        <v>372</v>
      </c>
      <c r="B34" s="9">
        <v>199204</v>
      </c>
      <c r="C34" s="28"/>
      <c r="D34" s="9">
        <v>199121</v>
      </c>
      <c r="E34" s="40"/>
      <c r="F34" s="9"/>
      <c r="G34" s="9"/>
      <c r="H34" s="9"/>
      <c r="I34" s="9"/>
      <c r="J34" s="9"/>
      <c r="L34" s="9"/>
      <c r="M34" s="9"/>
      <c r="N34" s="9"/>
    </row>
    <row r="35" spans="1:14" x14ac:dyDescent="0.2">
      <c r="A35" s="36" t="s">
        <v>373</v>
      </c>
      <c r="B35" s="9">
        <v>102293</v>
      </c>
      <c r="C35" s="28"/>
      <c r="D35" s="9">
        <v>102250</v>
      </c>
      <c r="E35" s="40"/>
      <c r="F35" s="9"/>
      <c r="G35" s="9"/>
      <c r="H35" s="9"/>
      <c r="I35" s="9"/>
      <c r="J35" s="9"/>
      <c r="L35" s="9"/>
      <c r="M35" s="9"/>
      <c r="N35" s="9"/>
    </row>
    <row r="36" spans="1:14" x14ac:dyDescent="0.2">
      <c r="A36" s="36" t="s">
        <v>374</v>
      </c>
      <c r="B36" s="9">
        <v>2274788</v>
      </c>
      <c r="C36" s="28"/>
      <c r="D36" s="9">
        <v>2273831</v>
      </c>
      <c r="E36" s="40"/>
      <c r="F36" s="9"/>
      <c r="G36" s="9"/>
      <c r="H36" s="9"/>
      <c r="I36" s="9"/>
      <c r="J36" s="9"/>
      <c r="L36" s="9"/>
      <c r="M36" s="9"/>
      <c r="N36" s="9"/>
    </row>
    <row r="37" spans="1:14" x14ac:dyDescent="0.2">
      <c r="A37" s="36" t="s">
        <v>375</v>
      </c>
      <c r="B37" s="9">
        <v>184653</v>
      </c>
      <c r="C37" s="28"/>
      <c r="D37" s="9">
        <v>184575</v>
      </c>
      <c r="E37" s="40"/>
      <c r="F37" s="9"/>
      <c r="G37" s="9"/>
      <c r="H37" s="9"/>
      <c r="I37" s="9"/>
      <c r="J37" s="9"/>
      <c r="L37" s="9"/>
      <c r="M37" s="9"/>
      <c r="N37" s="9"/>
    </row>
    <row r="38" spans="1:14" x14ac:dyDescent="0.2">
      <c r="A38" s="36" t="s">
        <v>376</v>
      </c>
      <c r="B38" s="9">
        <v>162065</v>
      </c>
      <c r="C38" s="28"/>
      <c r="D38" s="9">
        <v>161997</v>
      </c>
      <c r="E38" s="40"/>
      <c r="F38" s="9"/>
      <c r="G38" s="9"/>
      <c r="H38" s="9"/>
      <c r="I38" s="9"/>
      <c r="J38" s="9"/>
      <c r="L38" s="9"/>
      <c r="M38" s="9"/>
      <c r="N38" s="9"/>
    </row>
    <row r="39" spans="1:14" x14ac:dyDescent="0.2">
      <c r="A39" s="36" t="s">
        <v>377</v>
      </c>
      <c r="B39" s="9">
        <v>273129</v>
      </c>
      <c r="C39" s="28"/>
      <c r="D39" s="9">
        <v>273015</v>
      </c>
      <c r="E39" s="40"/>
      <c r="F39" s="9"/>
      <c r="G39" s="9"/>
      <c r="H39" s="9"/>
      <c r="I39" s="9"/>
      <c r="J39" s="9"/>
      <c r="L39" s="9"/>
      <c r="M39" s="9"/>
      <c r="N39" s="9"/>
    </row>
    <row r="40" spans="1:14" x14ac:dyDescent="0.2">
      <c r="A40" s="67" t="s">
        <v>331</v>
      </c>
      <c r="B40" s="68">
        <f>SUM(B4:B39)</f>
        <v>57863526.543196894</v>
      </c>
      <c r="C40" s="68">
        <f>SUM(C4:C39)</f>
        <v>0</v>
      </c>
      <c r="D40" s="68">
        <f>SUM(D4:D39)</f>
        <v>57850470.543196894</v>
      </c>
    </row>
    <row r="42" spans="1:14" x14ac:dyDescent="0.2">
      <c r="A42" s="69" t="s">
        <v>414</v>
      </c>
      <c r="B42" s="9">
        <f>SUM(B5:B39)</f>
        <v>31181670</v>
      </c>
      <c r="C42" s="9">
        <f>SUM(C5:C39)</f>
        <v>0</v>
      </c>
      <c r="D42" s="9">
        <f>SUM(D5:D39)</f>
        <v>31168614</v>
      </c>
      <c r="E42" s="9"/>
    </row>
    <row r="43" spans="1:14" x14ac:dyDescent="0.2">
      <c r="A43" s="69" t="s">
        <v>415</v>
      </c>
      <c r="B43" s="31"/>
      <c r="C43" s="121"/>
      <c r="D43" s="31"/>
      <c r="E43" s="9"/>
    </row>
    <row r="44" spans="1:14" x14ac:dyDescent="0.2">
      <c r="A44" s="69" t="s">
        <v>452</v>
      </c>
      <c r="B44" s="9">
        <f>B43-B42</f>
        <v>-31181670</v>
      </c>
      <c r="C44" s="9">
        <f>C43-C42</f>
        <v>0</v>
      </c>
      <c r="D44" s="9">
        <f>D43-D42</f>
        <v>-31168614</v>
      </c>
      <c r="E44" s="9"/>
    </row>
    <row r="45" spans="1:14" x14ac:dyDescent="0.2">
      <c r="C45" s="9"/>
      <c r="F45" s="64"/>
    </row>
    <row r="46" spans="1:14" x14ac:dyDescent="0.2">
      <c r="C46" s="143">
        <f>C44/'#s for Economist'!C22</f>
        <v>0</v>
      </c>
    </row>
    <row r="47" spans="1:14" x14ac:dyDescent="0.2">
      <c r="A47" s="69"/>
      <c r="B47" s="34"/>
      <c r="C47" s="9"/>
    </row>
    <row r="48" spans="1:14" x14ac:dyDescent="0.2">
      <c r="A48" s="69"/>
      <c r="B48" s="34"/>
    </row>
    <row r="49" spans="1:4" x14ac:dyDescent="0.2">
      <c r="A49" s="142"/>
      <c r="B49" s="34"/>
      <c r="C49" s="9"/>
      <c r="D49" s="108"/>
    </row>
    <row r="50" spans="1:4" x14ac:dyDescent="0.2">
      <c r="C50" s="34"/>
    </row>
    <row r="51" spans="1:4" x14ac:dyDescent="0.2">
      <c r="C51" s="34"/>
    </row>
    <row r="52" spans="1:4" x14ac:dyDescent="0.2">
      <c r="C52" s="34"/>
    </row>
  </sheetData>
  <mergeCells count="1">
    <mergeCell ref="A1:D1"/>
  </mergeCells>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CDB90-3615-4A99-BCAD-2504811E80C9}">
  <sheetPr>
    <tabColor rgb="FF92D050"/>
  </sheetPr>
  <dimension ref="A1:N79"/>
  <sheetViews>
    <sheetView topLeftCell="A37" zoomScale="85" zoomScaleNormal="85" workbookViewId="0">
      <selection activeCell="A69" sqref="A69:XFD69"/>
    </sheetView>
  </sheetViews>
  <sheetFormatPr defaultColWidth="8.7109375" defaultRowHeight="12.75" x14ac:dyDescent="0.2"/>
  <cols>
    <col min="1" max="1" width="11.5703125" style="122" customWidth="1"/>
    <col min="2" max="3" width="15.28515625" style="34" customWidth="1"/>
    <col min="4" max="4" width="12.42578125" style="34" customWidth="1"/>
    <col min="5" max="5" width="13.42578125" style="34" bestFit="1" customWidth="1"/>
    <col min="6" max="6" width="13.28515625" style="34" customWidth="1"/>
    <col min="7" max="7" width="13.7109375" style="34" customWidth="1"/>
    <col min="8" max="8" width="13.28515625" style="34" customWidth="1"/>
    <col min="9" max="9" width="14" style="122" bestFit="1" customWidth="1"/>
    <col min="10" max="10" width="9.28515625" style="127" customWidth="1"/>
    <col min="11" max="11" width="6.7109375" style="122" customWidth="1"/>
    <col min="12" max="12" width="151.5703125" style="122" bestFit="1" customWidth="1"/>
    <col min="13" max="13" width="12.28515625" style="122" bestFit="1" customWidth="1"/>
    <col min="14" max="14" width="13.28515625" style="122" bestFit="1" customWidth="1"/>
    <col min="15" max="16384" width="8.7109375" style="122"/>
  </cols>
  <sheetData>
    <row r="1" spans="1:14" ht="38.25" x14ac:dyDescent="0.2">
      <c r="A1" s="122" t="s">
        <v>226</v>
      </c>
      <c r="B1" s="23" t="s">
        <v>0</v>
      </c>
      <c r="C1" s="23" t="s">
        <v>1</v>
      </c>
      <c r="D1" s="8" t="s">
        <v>331</v>
      </c>
      <c r="E1" s="7" t="s">
        <v>330</v>
      </c>
      <c r="F1" s="7" t="s">
        <v>332</v>
      </c>
      <c r="G1" s="7" t="s">
        <v>407</v>
      </c>
      <c r="H1" s="7" t="s">
        <v>341</v>
      </c>
      <c r="I1" s="123" t="s">
        <v>334</v>
      </c>
      <c r="J1" s="124" t="s">
        <v>340</v>
      </c>
      <c r="K1" s="123" t="s">
        <v>338</v>
      </c>
      <c r="L1" s="123" t="s">
        <v>343</v>
      </c>
    </row>
    <row r="2" spans="1:14" x14ac:dyDescent="0.2">
      <c r="A2" s="122" t="s">
        <v>161</v>
      </c>
      <c r="B2" s="34">
        <v>10740979</v>
      </c>
      <c r="C2" s="34">
        <v>0</v>
      </c>
      <c r="D2" s="34">
        <f t="shared" ref="D2:D28" si="0">SUM(B2:C2)</f>
        <v>10740979</v>
      </c>
      <c r="E2" s="34">
        <f t="shared" ref="E2:E59" si="1">C2*-0.5</f>
        <v>0</v>
      </c>
      <c r="G2" s="28"/>
      <c r="H2" s="28">
        <v>-10740979</v>
      </c>
      <c r="I2" s="125">
        <f t="shared" ref="I2:I32" si="2">IF((VLOOKUP(A2,Crosswalk,2,FALSE)="Excluded"),0,(D2+E2+F2+G2+H2))</f>
        <v>0</v>
      </c>
      <c r="J2" s="40">
        <f>I2/(SUM($I$2:$I$77))</f>
        <v>0</v>
      </c>
      <c r="K2" s="122" t="str">
        <f>IF(VLOOKUP(A2,Model!A:B,2,FALSE)&lt;&gt;"","Yes","No")</f>
        <v>Yes</v>
      </c>
      <c r="L2" s="122" t="str">
        <f t="shared" ref="L2:L54" si="3">IF((VLOOKUP(A2,Crosswalk,3,FALSE))=0," ",(VLOOKUP(A2,Crosswalk,3,FALSE)))</f>
        <v>100% Overhead</v>
      </c>
    </row>
    <row r="3" spans="1:14" x14ac:dyDescent="0.2">
      <c r="A3" s="122" t="s">
        <v>162</v>
      </c>
      <c r="B3" s="34">
        <v>7782071</v>
      </c>
      <c r="C3" s="34">
        <v>23052</v>
      </c>
      <c r="D3" s="34">
        <f t="shared" si="0"/>
        <v>7805123</v>
      </c>
      <c r="E3" s="34">
        <f t="shared" si="1"/>
        <v>-11526</v>
      </c>
      <c r="G3" s="28"/>
      <c r="H3" s="28">
        <f>-7805123+11526+1798565</f>
        <v>-5995032</v>
      </c>
      <c r="I3" s="125">
        <f t="shared" si="2"/>
        <v>1798565</v>
      </c>
      <c r="J3" s="40">
        <f t="shared" ref="J3:J66" si="4">I3/(SUM($I$2:$I$77))</f>
        <v>1.5930777672070202E-3</v>
      </c>
      <c r="K3" s="122" t="str">
        <f>IF(VLOOKUP(A3,Model!A:B,2,FALSE)&lt;&gt;"","Yes","No")</f>
        <v>Yes</v>
      </c>
      <c r="L3" s="122" t="str">
        <f t="shared" si="3"/>
        <v>Exclude IPR starting in FY 2017-18 actuals</v>
      </c>
      <c r="M3" s="122" t="s">
        <v>482</v>
      </c>
      <c r="N3" s="122">
        <v>1798565</v>
      </c>
    </row>
    <row r="4" spans="1:14" x14ac:dyDescent="0.2">
      <c r="A4" s="122" t="s">
        <v>342</v>
      </c>
      <c r="B4" s="34">
        <v>2217280</v>
      </c>
      <c r="C4" s="34">
        <v>0</v>
      </c>
      <c r="D4" s="34">
        <f t="shared" si="0"/>
        <v>2217280</v>
      </c>
      <c r="E4" s="34">
        <f t="shared" si="1"/>
        <v>0</v>
      </c>
      <c r="G4" s="28"/>
      <c r="H4" s="28">
        <v>-2217280</v>
      </c>
      <c r="I4" s="125">
        <f t="shared" si="2"/>
        <v>0</v>
      </c>
      <c r="J4" s="40">
        <f t="shared" si="4"/>
        <v>0</v>
      </c>
      <c r="K4" s="122" t="str">
        <f>IF(VLOOKUP(A4,Model!A:B,2,FALSE)&lt;&gt;"","Yes","No")</f>
        <v>Yes</v>
      </c>
      <c r="L4" s="122" t="str">
        <f t="shared" si="3"/>
        <v>100% Overhead</v>
      </c>
    </row>
    <row r="5" spans="1:14" x14ac:dyDescent="0.2">
      <c r="A5" s="122" t="s">
        <v>164</v>
      </c>
      <c r="B5" s="34">
        <v>2070734</v>
      </c>
      <c r="C5" s="34">
        <v>0</v>
      </c>
      <c r="D5" s="34">
        <f t="shared" si="0"/>
        <v>2070734</v>
      </c>
      <c r="E5" s="34">
        <f t="shared" si="1"/>
        <v>0</v>
      </c>
      <c r="G5" s="28"/>
      <c r="H5" s="28">
        <v>-2070734</v>
      </c>
      <c r="I5" s="125">
        <f t="shared" si="2"/>
        <v>0</v>
      </c>
      <c r="J5" s="40">
        <f t="shared" si="4"/>
        <v>0</v>
      </c>
      <c r="K5" s="122" t="str">
        <f>IF(VLOOKUP(A5,Model!A:B,2,FALSE)&lt;&gt;"","Yes","No")</f>
        <v>Yes</v>
      </c>
      <c r="L5" s="122" t="str">
        <f t="shared" si="3"/>
        <v>100% Overhead</v>
      </c>
    </row>
    <row r="6" spans="1:14" x14ac:dyDescent="0.2">
      <c r="A6" s="122" t="s">
        <v>165</v>
      </c>
      <c r="B6" s="34">
        <v>114219464</v>
      </c>
      <c r="C6" s="34">
        <v>0</v>
      </c>
      <c r="D6" s="34">
        <f t="shared" si="0"/>
        <v>114219464</v>
      </c>
      <c r="E6" s="34">
        <f t="shared" si="1"/>
        <v>0</v>
      </c>
      <c r="G6" s="28"/>
      <c r="H6" s="28">
        <v>-117463</v>
      </c>
      <c r="I6" s="125">
        <f t="shared" si="2"/>
        <v>114102001</v>
      </c>
      <c r="J6" s="40">
        <f t="shared" si="4"/>
        <v>0.10106577242798186</v>
      </c>
      <c r="K6" s="122" t="str">
        <f>IF(VLOOKUP(A6,Model!A:B,2,FALSE)&lt;&gt;"","Yes","No")</f>
        <v>Yes</v>
      </c>
      <c r="L6" s="122" t="str">
        <f t="shared" si="3"/>
        <v>Exclude expenditures for emergency mgmt (FREO000004 Fund Center)</v>
      </c>
      <c r="M6" s="122" t="s">
        <v>513</v>
      </c>
      <c r="N6" s="122">
        <v>117463</v>
      </c>
    </row>
    <row r="7" spans="1:14" x14ac:dyDescent="0.2">
      <c r="A7" s="122" t="s">
        <v>157</v>
      </c>
      <c r="B7" s="34">
        <v>1326366</v>
      </c>
      <c r="C7" s="34">
        <v>0</v>
      </c>
      <c r="D7" s="34">
        <f t="shared" si="0"/>
        <v>1326366</v>
      </c>
      <c r="E7" s="34">
        <f t="shared" si="1"/>
        <v>0</v>
      </c>
      <c r="G7" s="28"/>
      <c r="H7" s="28">
        <v>-1326366</v>
      </c>
      <c r="I7" s="125">
        <f t="shared" si="2"/>
        <v>0</v>
      </c>
      <c r="J7" s="40">
        <f t="shared" si="4"/>
        <v>0</v>
      </c>
      <c r="K7" s="122" t="str">
        <f>IF(VLOOKUP(A7,Model!A:B,2,FALSE)&lt;&gt;"","Yes","No")</f>
        <v>Yes</v>
      </c>
      <c r="L7" s="122" t="str">
        <f t="shared" si="3"/>
        <v>100% Overhead</v>
      </c>
    </row>
    <row r="8" spans="1:14" x14ac:dyDescent="0.2">
      <c r="A8" s="122" t="s">
        <v>166</v>
      </c>
      <c r="B8" s="34">
        <v>29167847</v>
      </c>
      <c r="C8" s="34">
        <v>0</v>
      </c>
      <c r="D8" s="34">
        <f t="shared" si="0"/>
        <v>29167847</v>
      </c>
      <c r="E8" s="34">
        <f t="shared" si="1"/>
        <v>0</v>
      </c>
      <c r="G8" s="28"/>
      <c r="H8" s="28"/>
      <c r="I8" s="125">
        <f t="shared" si="2"/>
        <v>29167847</v>
      </c>
      <c r="J8" s="40">
        <f t="shared" si="4"/>
        <v>2.5835401318826945E-2</v>
      </c>
      <c r="K8" s="122" t="str">
        <f>IF(VLOOKUP(A8,Model!A:B,2,FALSE)&lt;&gt;"","Yes","No")</f>
        <v>Yes</v>
      </c>
      <c r="L8" s="122" t="str">
        <f t="shared" si="3"/>
        <v xml:space="preserve"> </v>
      </c>
    </row>
    <row r="9" spans="1:14" x14ac:dyDescent="0.2">
      <c r="A9" s="122" t="s">
        <v>159</v>
      </c>
      <c r="B9" s="28">
        <v>34017014</v>
      </c>
      <c r="C9" s="28">
        <v>500989</v>
      </c>
      <c r="D9" s="34">
        <f t="shared" si="0"/>
        <v>34518003</v>
      </c>
      <c r="E9" s="34">
        <f t="shared" si="1"/>
        <v>-250494.5</v>
      </c>
      <c r="G9" s="28"/>
      <c r="H9" s="28">
        <v>-23468993</v>
      </c>
      <c r="I9" s="125">
        <f t="shared" si="2"/>
        <v>10798515.5</v>
      </c>
      <c r="J9" s="40">
        <f t="shared" si="4"/>
        <v>9.5647780101861205E-3</v>
      </c>
      <c r="K9" s="122" t="str">
        <f>IF(VLOOKUP(A9,Model!A:B,2,FALSE)&lt;&gt;"","Yes","No")</f>
        <v>Yes</v>
      </c>
      <c r="L9" s="122" t="str">
        <f t="shared" si="3"/>
        <v>Exclude MFHR, MFDR, MFPU, MFOP, and MFFS cost centers. Beginning FY 18-19 need to also adjust for MFRB000002 functional area LACROPBAAR (accounts receiveable)</v>
      </c>
    </row>
    <row r="10" spans="1:14" s="139" customFormat="1" x14ac:dyDescent="0.2">
      <c r="A10" s="139" t="s">
        <v>163</v>
      </c>
      <c r="B10" s="28">
        <v>2940094</v>
      </c>
      <c r="C10" s="28">
        <v>0</v>
      </c>
      <c r="D10" s="28">
        <f t="shared" si="0"/>
        <v>2940094</v>
      </c>
      <c r="E10" s="28">
        <f t="shared" si="1"/>
        <v>0</v>
      </c>
      <c r="F10" s="28"/>
      <c r="G10" s="28"/>
      <c r="H10" s="28">
        <f>-2940094</f>
        <v>-2940094</v>
      </c>
      <c r="I10" s="125">
        <f t="shared" si="2"/>
        <v>0</v>
      </c>
      <c r="J10" s="40">
        <f t="shared" si="4"/>
        <v>0</v>
      </c>
      <c r="K10" s="122" t="str">
        <f>IF(VLOOKUP(A10,Model!A:B,2,FALSE)&lt;&gt;"","Yes","No")</f>
        <v>Yes</v>
      </c>
      <c r="L10" s="139" t="str">
        <f t="shared" si="3"/>
        <v>Exclude expenditures for Admin &amp; Support (LAMYAS Functional Area), include only OYVP for positions</v>
      </c>
    </row>
    <row r="11" spans="1:14" s="145" customFormat="1" x14ac:dyDescent="0.2">
      <c r="A11" s="145" t="s">
        <v>160</v>
      </c>
      <c r="B11" s="120">
        <v>9717906</v>
      </c>
      <c r="C11" s="120">
        <v>0</v>
      </c>
      <c r="D11" s="120">
        <f t="shared" si="0"/>
        <v>9717906</v>
      </c>
      <c r="E11" s="120">
        <f t="shared" si="1"/>
        <v>0</v>
      </c>
      <c r="F11" s="120"/>
      <c r="G11" s="120"/>
      <c r="H11" s="120">
        <f>-514314-115029</f>
        <v>-629343</v>
      </c>
      <c r="I11" s="146">
        <f t="shared" si="2"/>
        <v>9088563</v>
      </c>
      <c r="J11" s="40">
        <f t="shared" si="4"/>
        <v>8.0501887066413147E-3</v>
      </c>
      <c r="K11" s="145" t="str">
        <f>IF(VLOOKUP(A11,Model!A:B,2,FALSE)&lt;&gt;"","Yes","No")</f>
        <v>Yes</v>
      </c>
      <c r="L11" s="145" t="str">
        <f t="shared" si="3"/>
        <v>Exclude expenditures for Information &amp; Referral and Public Involvement best practices (CDIR - Info &amp; Rfrrl org unit for positions, CDNRNOPI - no positions)</v>
      </c>
      <c r="M11" s="145" t="s">
        <v>514</v>
      </c>
      <c r="N11" s="145" t="s">
        <v>515</v>
      </c>
    </row>
    <row r="12" spans="1:14" x14ac:dyDescent="0.2">
      <c r="A12" s="122" t="s">
        <v>316</v>
      </c>
      <c r="B12" s="34">
        <v>1296555</v>
      </c>
      <c r="C12" s="34">
        <v>0</v>
      </c>
      <c r="D12" s="34">
        <f t="shared" si="0"/>
        <v>1296555</v>
      </c>
      <c r="E12" s="34">
        <f t="shared" si="1"/>
        <v>0</v>
      </c>
      <c r="G12" s="90"/>
      <c r="H12" s="28">
        <f>(-0.595*(54837+229160))-13794-475040-1173-136920</f>
        <v>-795905.21499999997</v>
      </c>
      <c r="I12" s="125">
        <f t="shared" si="2"/>
        <v>500649.78500000003</v>
      </c>
      <c r="J12" s="40">
        <f t="shared" si="4"/>
        <v>4.4345021816863709E-4</v>
      </c>
      <c r="K12" s="122" t="str">
        <f>IF(VLOOKUP(A12,Model!A:B,2,FALSE)&lt;&gt;"","Yes","No")</f>
        <v>Yes</v>
      </c>
      <c r="L12" s="122" t="str">
        <f t="shared" si="3"/>
        <v>Exclude expenditures for Citywide Equity, Civil Rights, and % admin (CDCE, CDCR &amp; portion CDAS) - use base budget for position allocations</v>
      </c>
    </row>
    <row r="13" spans="1:14" x14ac:dyDescent="0.2">
      <c r="A13" s="122" t="s">
        <v>152</v>
      </c>
      <c r="B13" s="34">
        <v>1770829</v>
      </c>
      <c r="C13" s="34">
        <v>0</v>
      </c>
      <c r="D13" s="34">
        <f t="shared" si="0"/>
        <v>1770829</v>
      </c>
      <c r="E13" s="34">
        <f t="shared" si="1"/>
        <v>0</v>
      </c>
      <c r="G13" s="28"/>
      <c r="H13" s="28">
        <v>-858709</v>
      </c>
      <c r="I13" s="125">
        <f t="shared" si="2"/>
        <v>912120</v>
      </c>
      <c r="J13" s="40">
        <f t="shared" si="4"/>
        <v>8.079096907950879E-4</v>
      </c>
      <c r="K13" s="122" t="str">
        <f>IF(VLOOKUP(A13,Model!A:B,2,FALSE)&lt;&gt;"","Yes","No")</f>
        <v>Yes</v>
      </c>
      <c r="L13" s="122" t="str">
        <f t="shared" si="3"/>
        <v>Exclude Commissioner's Office (PACO000001)</v>
      </c>
    </row>
    <row r="14" spans="1:14" x14ac:dyDescent="0.2">
      <c r="A14" s="122" t="s">
        <v>167</v>
      </c>
      <c r="B14" s="34">
        <v>78725990</v>
      </c>
      <c r="C14" s="34">
        <v>132539</v>
      </c>
      <c r="D14" s="34">
        <f t="shared" si="0"/>
        <v>78858529</v>
      </c>
      <c r="E14" s="34">
        <f t="shared" si="1"/>
        <v>-66269.5</v>
      </c>
      <c r="G14" s="28"/>
      <c r="H14" s="28"/>
      <c r="I14" s="125">
        <f t="shared" si="2"/>
        <v>78792259.5</v>
      </c>
      <c r="J14" s="40">
        <f t="shared" si="4"/>
        <v>6.9790192090614531E-2</v>
      </c>
      <c r="K14" s="122" t="str">
        <f>IF(VLOOKUP(A14,Model!A:B,2,FALSE)&lt;&gt;"","Yes","No")</f>
        <v>Yes</v>
      </c>
      <c r="L14" s="122" t="str">
        <f t="shared" si="3"/>
        <v xml:space="preserve"> </v>
      </c>
    </row>
    <row r="15" spans="1:14" x14ac:dyDescent="0.2">
      <c r="A15" s="122" t="s">
        <v>168</v>
      </c>
      <c r="B15" s="34">
        <v>173615500</v>
      </c>
      <c r="C15" s="34">
        <v>0</v>
      </c>
      <c r="D15" s="34">
        <f t="shared" si="0"/>
        <v>173615500</v>
      </c>
      <c r="E15" s="34">
        <f t="shared" si="1"/>
        <v>0</v>
      </c>
      <c r="G15" s="28"/>
      <c r="H15" s="28"/>
      <c r="I15" s="125">
        <f t="shared" si="2"/>
        <v>173615500</v>
      </c>
      <c r="J15" s="40">
        <f t="shared" si="4"/>
        <v>0.15377981507064267</v>
      </c>
      <c r="K15" s="122" t="str">
        <f>IF(VLOOKUP(A15,Model!A:B,2,FALSE)&lt;&gt;"","Yes","No")</f>
        <v>Yes</v>
      </c>
      <c r="L15" s="122" t="str">
        <f t="shared" si="3"/>
        <v xml:space="preserve"> </v>
      </c>
    </row>
    <row r="16" spans="1:14" x14ac:dyDescent="0.2">
      <c r="A16" s="122" t="s">
        <v>151</v>
      </c>
      <c r="B16" s="34">
        <v>9462370</v>
      </c>
      <c r="C16" s="34">
        <v>0</v>
      </c>
      <c r="D16" s="34">
        <f t="shared" si="0"/>
        <v>9462370</v>
      </c>
      <c r="E16" s="34">
        <f t="shared" si="1"/>
        <v>0</v>
      </c>
      <c r="G16" s="28"/>
      <c r="H16" s="28">
        <f>-1159754-(0.5*649146)</f>
        <v>-1484327</v>
      </c>
      <c r="I16" s="125">
        <f t="shared" si="2"/>
        <v>7978043</v>
      </c>
      <c r="J16" s="40">
        <f t="shared" si="4"/>
        <v>7.0665463461824273E-3</v>
      </c>
      <c r="K16" s="122" t="str">
        <f>IF(VLOOKUP(A16,Model!A:B,2,FALSE)&lt;&gt;"","Yes","No")</f>
        <v>Yes</v>
      </c>
      <c r="L16" s="122" t="str">
        <f t="shared" si="3"/>
        <v>Exclude expenditures for Comp Planning &amp; 1/2 of district liaisons (CDAPDI - Dist Plan org unit for positions, CDCPCM - use base budget for positions)</v>
      </c>
      <c r="M16" s="122" t="s">
        <v>542</v>
      </c>
      <c r="N16" s="122" t="s">
        <v>543</v>
      </c>
    </row>
    <row r="17" spans="1:14" x14ac:dyDescent="0.2">
      <c r="A17" s="122" t="s">
        <v>153</v>
      </c>
      <c r="B17" s="34">
        <v>886538</v>
      </c>
      <c r="C17" s="34">
        <v>0</v>
      </c>
      <c r="D17" s="34">
        <f t="shared" si="0"/>
        <v>886538</v>
      </c>
      <c r="E17" s="34">
        <f t="shared" si="1"/>
        <v>0</v>
      </c>
      <c r="G17" s="28"/>
      <c r="H17" s="28">
        <v>-886538</v>
      </c>
      <c r="I17" s="125">
        <f t="shared" si="2"/>
        <v>0</v>
      </c>
      <c r="J17" s="40">
        <f t="shared" si="4"/>
        <v>0</v>
      </c>
      <c r="K17" s="122" t="str">
        <f>IF(VLOOKUP(A17,Model!A:B,2,FALSE)&lt;&gt;"","Yes","No")</f>
        <v>Yes</v>
      </c>
      <c r="L17" s="122" t="str">
        <f t="shared" si="3"/>
        <v>100% Overhead</v>
      </c>
      <c r="M17" s="158"/>
      <c r="N17" s="158"/>
    </row>
    <row r="18" spans="1:14" x14ac:dyDescent="0.2">
      <c r="A18" s="122" t="s">
        <v>154</v>
      </c>
      <c r="B18" s="34">
        <v>862907</v>
      </c>
      <c r="C18" s="34">
        <v>0</v>
      </c>
      <c r="D18" s="34">
        <f t="shared" si="0"/>
        <v>862907</v>
      </c>
      <c r="E18" s="34">
        <f t="shared" si="1"/>
        <v>0</v>
      </c>
      <c r="G18" s="28"/>
      <c r="H18" s="28">
        <v>-862907</v>
      </c>
      <c r="I18" s="125">
        <f t="shared" si="2"/>
        <v>0</v>
      </c>
      <c r="J18" s="40">
        <f t="shared" si="4"/>
        <v>0</v>
      </c>
      <c r="K18" s="122" t="str">
        <f>IF(VLOOKUP(A18,Model!A:B,2,FALSE)&lt;&gt;"","Yes","No")</f>
        <v>Yes</v>
      </c>
      <c r="L18" s="122" t="str">
        <f t="shared" si="3"/>
        <v>100% Overhead</v>
      </c>
      <c r="M18" s="125"/>
    </row>
    <row r="19" spans="1:14" x14ac:dyDescent="0.2">
      <c r="A19" s="122" t="s">
        <v>155</v>
      </c>
      <c r="B19" s="34">
        <v>921239</v>
      </c>
      <c r="C19" s="34">
        <v>0</v>
      </c>
      <c r="D19" s="34">
        <f t="shared" si="0"/>
        <v>921239</v>
      </c>
      <c r="E19" s="34">
        <f t="shared" si="1"/>
        <v>0</v>
      </c>
      <c r="G19" s="28"/>
      <c r="H19" s="28">
        <v>-921239</v>
      </c>
      <c r="I19" s="125">
        <f t="shared" si="2"/>
        <v>0</v>
      </c>
      <c r="J19" s="40">
        <f t="shared" si="4"/>
        <v>0</v>
      </c>
      <c r="K19" s="122" t="str">
        <f>IF(VLOOKUP(A19,Model!A:B,2,FALSE)&lt;&gt;"","Yes","No")</f>
        <v>Yes</v>
      </c>
      <c r="L19" s="122" t="str">
        <f t="shared" si="3"/>
        <v>100% Overhead</v>
      </c>
    </row>
    <row r="20" spans="1:14" x14ac:dyDescent="0.2">
      <c r="A20" s="122" t="s">
        <v>169</v>
      </c>
      <c r="B20" s="28">
        <v>11791119</v>
      </c>
      <c r="C20" s="34">
        <v>0</v>
      </c>
      <c r="D20" s="34">
        <f t="shared" si="0"/>
        <v>11791119</v>
      </c>
      <c r="E20" s="34">
        <f t="shared" si="1"/>
        <v>0</v>
      </c>
      <c r="G20" s="28"/>
      <c r="H20" s="28">
        <v>-275522</v>
      </c>
      <c r="I20" s="125">
        <f t="shared" si="2"/>
        <v>11515597</v>
      </c>
      <c r="J20" s="40">
        <f t="shared" si="4"/>
        <v>1.0199932477734116E-2</v>
      </c>
      <c r="K20" s="122" t="str">
        <f>IF(VLOOKUP(A20,Model!A:B,2,FALSE)&lt;&gt;"","Yes","No")</f>
        <v>Yes</v>
      </c>
      <c r="L20" s="122" t="str">
        <f t="shared" si="3"/>
        <v>Exclude expenditures for City memberships and dues (MFSA000002)</v>
      </c>
      <c r="M20" s="125"/>
    </row>
    <row r="21" spans="1:14" x14ac:dyDescent="0.2">
      <c r="A21" s="122" t="s">
        <v>318</v>
      </c>
      <c r="B21" s="34">
        <v>5815282</v>
      </c>
      <c r="C21" s="34">
        <v>0</v>
      </c>
      <c r="D21" s="34">
        <f t="shared" si="0"/>
        <v>5815282</v>
      </c>
      <c r="E21" s="34">
        <f t="shared" si="1"/>
        <v>0</v>
      </c>
      <c r="G21" s="28"/>
      <c r="H21" s="28"/>
      <c r="I21" s="125">
        <f t="shared" si="2"/>
        <v>5815282</v>
      </c>
      <c r="J21" s="40">
        <f t="shared" si="4"/>
        <v>5.1508822112290497E-3</v>
      </c>
      <c r="K21" s="122" t="str">
        <f>IF(VLOOKUP(A21,Model!A:B,2,FALSE)&lt;&gt;"","Yes","No")</f>
        <v>Yes</v>
      </c>
      <c r="L21" s="122" t="str">
        <f t="shared" si="3"/>
        <v xml:space="preserve"> </v>
      </c>
    </row>
    <row r="22" spans="1:14" x14ac:dyDescent="0.2">
      <c r="A22" s="122" t="s">
        <v>170</v>
      </c>
      <c r="B22" s="34">
        <v>120001069</v>
      </c>
      <c r="C22" s="34">
        <v>34865282</v>
      </c>
      <c r="D22" s="34">
        <f t="shared" si="0"/>
        <v>154866351</v>
      </c>
      <c r="E22" s="34">
        <f t="shared" si="1"/>
        <v>-17432641</v>
      </c>
      <c r="G22" s="28"/>
      <c r="H22" s="28"/>
      <c r="I22" s="125">
        <f t="shared" si="2"/>
        <v>137433710</v>
      </c>
      <c r="J22" s="40">
        <f t="shared" si="4"/>
        <v>0.12173181834728082</v>
      </c>
      <c r="K22" s="122" t="str">
        <f>IF(VLOOKUP(A22,Model!A:B,2,FALSE)&lt;&gt;"","Yes","No")</f>
        <v>Yes</v>
      </c>
      <c r="L22" s="122" t="str">
        <f t="shared" si="3"/>
        <v xml:space="preserve"> </v>
      </c>
    </row>
    <row r="23" spans="1:14" x14ac:dyDescent="0.2">
      <c r="A23" s="122" t="s">
        <v>171</v>
      </c>
      <c r="B23" s="34">
        <v>17456843</v>
      </c>
      <c r="C23" s="34">
        <v>0</v>
      </c>
      <c r="D23" s="34">
        <f t="shared" si="0"/>
        <v>17456843</v>
      </c>
      <c r="E23" s="34">
        <f t="shared" si="1"/>
        <v>0</v>
      </c>
      <c r="F23" s="28"/>
      <c r="G23" s="28"/>
      <c r="H23" s="28"/>
      <c r="I23" s="125">
        <f t="shared" si="2"/>
        <v>17456843</v>
      </c>
      <c r="J23" s="40">
        <f t="shared" si="4"/>
        <v>1.5462387219212817E-2</v>
      </c>
      <c r="K23" s="122" t="str">
        <f>IF(VLOOKUP(A23,Model!A:B,2,FALSE)&lt;&gt;"","Yes","No")</f>
        <v>Yes</v>
      </c>
      <c r="L23" s="122" t="str">
        <f t="shared" si="3"/>
        <v xml:space="preserve"> </v>
      </c>
    </row>
    <row r="24" spans="1:14" x14ac:dyDescent="0.2">
      <c r="A24" s="122" t="s">
        <v>173</v>
      </c>
      <c r="B24" s="34">
        <v>48265048</v>
      </c>
      <c r="C24" s="34">
        <v>1741073</v>
      </c>
      <c r="D24" s="34">
        <f t="shared" si="0"/>
        <v>50006121</v>
      </c>
      <c r="E24" s="34">
        <f t="shared" si="1"/>
        <v>-870536.5</v>
      </c>
      <c r="G24" s="28"/>
      <c r="H24" s="28"/>
      <c r="I24" s="125">
        <f t="shared" si="2"/>
        <v>49135584.5</v>
      </c>
      <c r="J24" s="40">
        <f t="shared" si="4"/>
        <v>4.3521811691916538E-2</v>
      </c>
      <c r="K24" s="122" t="str">
        <f>IF(VLOOKUP(A24,Model!A:B,2,FALSE)&lt;&gt;"","Yes","No")</f>
        <v>Yes</v>
      </c>
      <c r="L24" s="122" t="str">
        <f t="shared" si="3"/>
        <v xml:space="preserve"> </v>
      </c>
    </row>
    <row r="25" spans="1:14" x14ac:dyDescent="0.2">
      <c r="A25" s="122" t="s">
        <v>174</v>
      </c>
      <c r="B25" s="34">
        <v>5355489</v>
      </c>
      <c r="C25" s="34">
        <v>0</v>
      </c>
      <c r="D25" s="34">
        <f t="shared" si="0"/>
        <v>5355489</v>
      </c>
      <c r="E25" s="34">
        <f t="shared" si="1"/>
        <v>0</v>
      </c>
      <c r="G25" s="28">
        <v>-5355489</v>
      </c>
      <c r="H25" s="28"/>
      <c r="I25" s="125">
        <f t="shared" si="2"/>
        <v>0</v>
      </c>
      <c r="J25" s="40">
        <f t="shared" si="4"/>
        <v>0</v>
      </c>
      <c r="K25" s="122" t="str">
        <f>IF(VLOOKUP(A25,Model!A:B,2,FALSE)&lt;&gt;"","Yes","No")</f>
        <v>Yes</v>
      </c>
      <c r="L25" s="122" t="str">
        <f t="shared" si="3"/>
        <v>Fixed at $25,000 (hardcoded in Model)</v>
      </c>
    </row>
    <row r="26" spans="1:14" x14ac:dyDescent="0.2">
      <c r="A26" s="122" t="s">
        <v>176</v>
      </c>
      <c r="B26" s="34">
        <v>18062474</v>
      </c>
      <c r="C26" s="34">
        <v>0</v>
      </c>
      <c r="D26" s="34">
        <f t="shared" si="0"/>
        <v>18062474</v>
      </c>
      <c r="E26" s="34">
        <f t="shared" si="1"/>
        <v>0</v>
      </c>
      <c r="F26" s="28"/>
      <c r="G26" s="28">
        <v>-18062474</v>
      </c>
      <c r="H26" s="28"/>
      <c r="I26" s="125">
        <f t="shared" si="2"/>
        <v>0</v>
      </c>
      <c r="J26" s="40">
        <f t="shared" si="4"/>
        <v>0</v>
      </c>
      <c r="K26" s="122" t="str">
        <f>IF(VLOOKUP(A26,Model!A:B,2,FALSE)&lt;&gt;"","Yes","No")</f>
        <v>Yes</v>
      </c>
      <c r="L26" s="122" t="str">
        <f t="shared" si="3"/>
        <v>Fixed at $25,000 (hardcoded in Model)</v>
      </c>
    </row>
    <row r="27" spans="1:14" x14ac:dyDescent="0.2">
      <c r="A27" s="122" t="s">
        <v>177</v>
      </c>
      <c r="B27" s="34">
        <v>115625032</v>
      </c>
      <c r="C27" s="34">
        <v>0</v>
      </c>
      <c r="D27" s="34">
        <f t="shared" si="0"/>
        <v>115625032</v>
      </c>
      <c r="E27" s="34">
        <f t="shared" si="1"/>
        <v>0</v>
      </c>
      <c r="F27" s="28"/>
      <c r="G27" s="28"/>
      <c r="H27" s="28"/>
      <c r="I27" s="125">
        <f t="shared" si="2"/>
        <v>0</v>
      </c>
      <c r="J27" s="40">
        <f t="shared" si="4"/>
        <v>0</v>
      </c>
      <c r="K27" s="122" t="str">
        <f>IF(VLOOKUP(A27,Model!A:B,2,FALSE)&lt;&gt;"","Yes","No")</f>
        <v>Yes</v>
      </c>
      <c r="L27" s="122" t="str">
        <f t="shared" si="3"/>
        <v xml:space="preserve"> </v>
      </c>
    </row>
    <row r="28" spans="1:14" x14ac:dyDescent="0.2">
      <c r="A28" s="122" t="s">
        <v>178</v>
      </c>
      <c r="B28" s="34">
        <v>4372330</v>
      </c>
      <c r="C28" s="34">
        <v>3582</v>
      </c>
      <c r="D28" s="34">
        <f t="shared" si="0"/>
        <v>4375912</v>
      </c>
      <c r="E28" s="34">
        <f t="shared" si="1"/>
        <v>-1791</v>
      </c>
      <c r="G28" s="28">
        <f>-1*0.5*(2286767+33901)</f>
        <v>-1160334</v>
      </c>
      <c r="H28" s="28"/>
      <c r="I28" s="125">
        <f t="shared" si="2"/>
        <v>3213787</v>
      </c>
      <c r="J28" s="40">
        <f t="shared" si="4"/>
        <v>2.8466097239960458E-3</v>
      </c>
      <c r="K28" s="122" t="str">
        <f>IF(VLOOKUP(A28,Model!A:B,2,FALSE)&lt;&gt;"","Yes","No")</f>
        <v>Yes</v>
      </c>
      <c r="L28" s="122" t="str">
        <f t="shared" si="3"/>
        <v>50% discount for operating projects</v>
      </c>
    </row>
    <row r="29" spans="1:14" x14ac:dyDescent="0.2">
      <c r="A29" s="122" t="s">
        <v>181</v>
      </c>
      <c r="B29" s="34">
        <v>17768698</v>
      </c>
      <c r="C29" s="34">
        <v>0</v>
      </c>
      <c r="D29" s="34">
        <f t="shared" ref="D29:D59" si="5">SUM(B29:C29)</f>
        <v>17768698</v>
      </c>
      <c r="E29" s="34">
        <f t="shared" si="1"/>
        <v>0</v>
      </c>
      <c r="G29" s="28">
        <v>-17768698</v>
      </c>
      <c r="H29" s="28"/>
      <c r="I29" s="125">
        <f t="shared" si="2"/>
        <v>0</v>
      </c>
      <c r="J29" s="40">
        <f t="shared" si="4"/>
        <v>0</v>
      </c>
      <c r="K29" s="122" t="str">
        <f>IF(VLOOKUP(A29,Model!A:B,2,FALSE)&lt;&gt;"","Yes","No")</f>
        <v>Yes</v>
      </c>
      <c r="L29" s="122" t="str">
        <f t="shared" si="3"/>
        <v>Fixed at $25,000 (hardcoded in Model)</v>
      </c>
    </row>
    <row r="30" spans="1:14" x14ac:dyDescent="0.2">
      <c r="A30" s="122" t="s">
        <v>319</v>
      </c>
      <c r="B30" s="34">
        <v>0</v>
      </c>
      <c r="C30" s="34">
        <v>0</v>
      </c>
      <c r="D30" s="34">
        <f t="shared" si="5"/>
        <v>0</v>
      </c>
      <c r="E30" s="34">
        <f t="shared" si="1"/>
        <v>0</v>
      </c>
      <c r="G30" s="28"/>
      <c r="H30" s="28"/>
      <c r="I30" s="125">
        <f t="shared" si="2"/>
        <v>0</v>
      </c>
      <c r="J30" s="40">
        <f t="shared" si="4"/>
        <v>0</v>
      </c>
      <c r="K30" s="122" t="str">
        <f>IF(VLOOKUP(A30,Model!A:B,2,FALSE)&lt;&gt;"","Yes","No")</f>
        <v>Yes</v>
      </c>
      <c r="L30" s="122" t="str">
        <f t="shared" si="3"/>
        <v xml:space="preserve"> </v>
      </c>
    </row>
    <row r="31" spans="1:14" x14ac:dyDescent="0.2">
      <c r="A31" s="122" t="s">
        <v>187</v>
      </c>
      <c r="B31" s="34">
        <v>3110653</v>
      </c>
      <c r="C31" s="34">
        <v>0</v>
      </c>
      <c r="D31" s="34">
        <f t="shared" si="5"/>
        <v>3110653</v>
      </c>
      <c r="E31" s="34">
        <f t="shared" si="1"/>
        <v>0</v>
      </c>
      <c r="G31" s="28"/>
      <c r="H31" s="28"/>
      <c r="I31" s="125">
        <f t="shared" si="2"/>
        <v>3110653</v>
      </c>
      <c r="J31" s="40">
        <f t="shared" si="4"/>
        <v>2.7552588512485339E-3</v>
      </c>
      <c r="K31" s="122" t="str">
        <f>IF(VLOOKUP(A31,Model!A:B,2,FALSE)&lt;&gt;"","Yes","No")</f>
        <v>Yes</v>
      </c>
      <c r="L31" s="122" t="str">
        <f t="shared" si="3"/>
        <v xml:space="preserve"> </v>
      </c>
    </row>
    <row r="32" spans="1:14" x14ac:dyDescent="0.2">
      <c r="A32" s="122" t="s">
        <v>183</v>
      </c>
      <c r="B32" s="34">
        <v>120930</v>
      </c>
      <c r="C32" s="34">
        <v>139221</v>
      </c>
      <c r="D32" s="34">
        <f t="shared" si="5"/>
        <v>260151</v>
      </c>
      <c r="E32" s="34">
        <f t="shared" si="1"/>
        <v>-69610.5</v>
      </c>
      <c r="G32" s="28"/>
      <c r="H32" s="28"/>
      <c r="I32" s="125">
        <f t="shared" si="2"/>
        <v>190540.5</v>
      </c>
      <c r="J32" s="40">
        <f t="shared" si="4"/>
        <v>1.6877112270199257E-4</v>
      </c>
      <c r="K32" s="122" t="str">
        <f>IF(VLOOKUP(A32,Model!A:B,2,FALSE)&lt;&gt;"","Yes","No")</f>
        <v>Yes</v>
      </c>
      <c r="L32" s="122" t="str">
        <f t="shared" si="3"/>
        <v xml:space="preserve"> </v>
      </c>
    </row>
    <row r="33" spans="1:12" x14ac:dyDescent="0.2">
      <c r="A33" s="122" t="s">
        <v>190</v>
      </c>
      <c r="B33" s="34">
        <v>17220</v>
      </c>
      <c r="C33" s="34">
        <v>34273</v>
      </c>
      <c r="D33" s="34">
        <f t="shared" si="5"/>
        <v>51493</v>
      </c>
      <c r="E33" s="34">
        <f t="shared" si="1"/>
        <v>-17136.5</v>
      </c>
      <c r="G33" s="28"/>
      <c r="H33" s="28"/>
      <c r="I33" s="125">
        <f t="shared" ref="I33:I60" si="6">IF((VLOOKUP(A33,Crosswalk,2,FALSE)="Excluded"),0,(D33+E33+F33+G33+H33))</f>
        <v>34356.5</v>
      </c>
      <c r="J33" s="40">
        <f t="shared" si="4"/>
        <v>3.0431247304961449E-5</v>
      </c>
      <c r="K33" s="122" t="str">
        <f>IF(VLOOKUP(A33,Model!A:B,2,FALSE)&lt;&gt;"","Yes","No")</f>
        <v>Yes</v>
      </c>
      <c r="L33" s="122" t="str">
        <f t="shared" si="3"/>
        <v xml:space="preserve"> </v>
      </c>
    </row>
    <row r="34" spans="1:12" x14ac:dyDescent="0.2">
      <c r="A34" s="122" t="s">
        <v>191</v>
      </c>
      <c r="B34" s="34">
        <v>2345996</v>
      </c>
      <c r="C34" s="34">
        <v>21560</v>
      </c>
      <c r="D34" s="34">
        <f t="shared" si="5"/>
        <v>2367556</v>
      </c>
      <c r="E34" s="34">
        <f t="shared" si="1"/>
        <v>-10780</v>
      </c>
      <c r="G34" s="28"/>
      <c r="H34" s="28"/>
      <c r="I34" s="125">
        <f t="shared" si="6"/>
        <v>2356776</v>
      </c>
      <c r="J34" s="40">
        <f t="shared" si="4"/>
        <v>2.0875127937478449E-3</v>
      </c>
      <c r="K34" s="122" t="str">
        <f>IF(VLOOKUP(A34,Model!A:B,2,FALSE)&lt;&gt;"","Yes","No")</f>
        <v>Yes</v>
      </c>
      <c r="L34" s="122" t="str">
        <f t="shared" si="3"/>
        <v xml:space="preserve"> </v>
      </c>
    </row>
    <row r="35" spans="1:12" x14ac:dyDescent="0.2">
      <c r="A35" s="122" t="s">
        <v>192</v>
      </c>
      <c r="B35" s="34">
        <v>318853</v>
      </c>
      <c r="C35" s="34">
        <v>1361084</v>
      </c>
      <c r="D35" s="34">
        <f t="shared" si="5"/>
        <v>1679937</v>
      </c>
      <c r="E35" s="34">
        <f t="shared" si="1"/>
        <v>-680542</v>
      </c>
      <c r="G35" s="28"/>
      <c r="H35" s="28"/>
      <c r="I35" s="125">
        <f t="shared" si="6"/>
        <v>999395</v>
      </c>
      <c r="J35" s="40">
        <f t="shared" si="4"/>
        <v>8.8521346471095563E-4</v>
      </c>
      <c r="K35" s="122" t="str">
        <f>IF(VLOOKUP(A35,Model!A:B,2,FALSE)&lt;&gt;"","Yes","No")</f>
        <v>Yes</v>
      </c>
      <c r="L35" s="122" t="str">
        <f t="shared" si="3"/>
        <v xml:space="preserve"> </v>
      </c>
    </row>
    <row r="36" spans="1:12" x14ac:dyDescent="0.2">
      <c r="A36" s="122" t="s">
        <v>193</v>
      </c>
      <c r="B36" s="34">
        <v>1183750</v>
      </c>
      <c r="C36" s="34">
        <v>150659</v>
      </c>
      <c r="D36" s="34">
        <f t="shared" si="5"/>
        <v>1334409</v>
      </c>
      <c r="E36" s="34">
        <f t="shared" si="1"/>
        <v>-75329.5</v>
      </c>
      <c r="G36" s="28"/>
      <c r="H36" s="28"/>
      <c r="I36" s="125">
        <f t="shared" si="6"/>
        <v>1259079.5</v>
      </c>
      <c r="J36" s="40">
        <f t="shared" si="4"/>
        <v>1.1152288399897314E-3</v>
      </c>
      <c r="K36" s="122" t="str">
        <f>IF(VLOOKUP(A36,Model!A:B,2,FALSE)&lt;&gt;"","Yes","No")</f>
        <v>Yes</v>
      </c>
    </row>
    <row r="37" spans="1:12" x14ac:dyDescent="0.2">
      <c r="A37" s="122" t="s">
        <v>184</v>
      </c>
      <c r="B37" s="34">
        <v>1446327</v>
      </c>
      <c r="C37" s="34">
        <v>0</v>
      </c>
      <c r="D37" s="34">
        <f t="shared" si="5"/>
        <v>1446327</v>
      </c>
      <c r="E37" s="34">
        <f t="shared" si="1"/>
        <v>0</v>
      </c>
      <c r="G37" s="28"/>
      <c r="H37" s="28"/>
      <c r="I37" s="125">
        <f t="shared" si="6"/>
        <v>1446327</v>
      </c>
      <c r="J37" s="40">
        <f t="shared" si="4"/>
        <v>1.2810831901050158E-3</v>
      </c>
      <c r="K37" s="122" t="str">
        <f>IF(VLOOKUP(A37,Model!A:B,2,FALSE)&lt;&gt;"","Yes","No")</f>
        <v>Yes</v>
      </c>
      <c r="L37" s="122" t="str">
        <f t="shared" si="3"/>
        <v xml:space="preserve"> </v>
      </c>
    </row>
    <row r="38" spans="1:12" x14ac:dyDescent="0.2">
      <c r="A38" s="122" t="s">
        <v>188</v>
      </c>
      <c r="B38" s="34">
        <v>412851</v>
      </c>
      <c r="C38" s="34">
        <v>6347818</v>
      </c>
      <c r="D38" s="34">
        <f t="shared" si="5"/>
        <v>6760669</v>
      </c>
      <c r="E38" s="34">
        <f t="shared" si="1"/>
        <v>-3173909</v>
      </c>
      <c r="G38" s="28"/>
      <c r="H38" s="28"/>
      <c r="I38" s="125">
        <f t="shared" si="6"/>
        <v>3586760</v>
      </c>
      <c r="J38" s="40">
        <f t="shared" si="4"/>
        <v>3.1769703137264718E-3</v>
      </c>
      <c r="K38" s="122" t="str">
        <f>IF(VLOOKUP(A38,Model!A:B,2,FALSE)&lt;&gt;"","Yes","No")</f>
        <v>Yes</v>
      </c>
      <c r="L38" s="122" t="str">
        <f t="shared" si="3"/>
        <v xml:space="preserve"> </v>
      </c>
    </row>
    <row r="39" spans="1:12" x14ac:dyDescent="0.2">
      <c r="A39" s="122" t="s">
        <v>194</v>
      </c>
      <c r="B39" s="34">
        <v>-12149</v>
      </c>
      <c r="C39" s="34">
        <v>-11431</v>
      </c>
      <c r="D39" s="34">
        <f t="shared" si="5"/>
        <v>-23580</v>
      </c>
      <c r="E39" s="34">
        <f t="shared" si="1"/>
        <v>5715.5</v>
      </c>
      <c r="G39" s="28"/>
      <c r="H39" s="28"/>
      <c r="I39" s="125">
        <f t="shared" si="6"/>
        <v>-17864.5</v>
      </c>
      <c r="J39" s="40">
        <f t="shared" si="4"/>
        <v>-1.5823469139158057E-5</v>
      </c>
      <c r="K39" s="122" t="str">
        <f>IF(VLOOKUP(A39,Model!A:B,2,FALSE)&lt;&gt;"","Yes","No")</f>
        <v>Yes</v>
      </c>
      <c r="L39" s="122" t="str">
        <f t="shared" si="3"/>
        <v xml:space="preserve"> </v>
      </c>
    </row>
    <row r="40" spans="1:12" x14ac:dyDescent="0.2">
      <c r="A40" s="122" t="s">
        <v>195</v>
      </c>
      <c r="B40" s="34">
        <v>9761739</v>
      </c>
      <c r="C40" s="34">
        <v>0</v>
      </c>
      <c r="D40" s="34">
        <f t="shared" si="5"/>
        <v>9761739</v>
      </c>
      <c r="E40" s="34">
        <f t="shared" si="1"/>
        <v>0</v>
      </c>
      <c r="G40" s="28"/>
      <c r="H40" s="28"/>
      <c r="I40" s="125">
        <f t="shared" si="6"/>
        <v>9761739</v>
      </c>
      <c r="J40" s="40">
        <f t="shared" si="4"/>
        <v>8.6464539064074371E-3</v>
      </c>
      <c r="K40" s="122" t="str">
        <f>IF(VLOOKUP(A40,Model!A:B,2,FALSE)&lt;&gt;"","Yes","No")</f>
        <v>Yes</v>
      </c>
      <c r="L40" s="122" t="str">
        <f t="shared" si="3"/>
        <v xml:space="preserve"> </v>
      </c>
    </row>
    <row r="41" spans="1:12" x14ac:dyDescent="0.2">
      <c r="A41" s="122" t="s">
        <v>196</v>
      </c>
      <c r="B41" s="34">
        <v>6131079</v>
      </c>
      <c r="C41" s="34">
        <v>0</v>
      </c>
      <c r="D41" s="34">
        <f t="shared" si="5"/>
        <v>6131079</v>
      </c>
      <c r="E41" s="34">
        <f t="shared" si="1"/>
        <v>0</v>
      </c>
      <c r="G41" s="28"/>
      <c r="H41" s="28"/>
      <c r="I41" s="125">
        <f t="shared" si="6"/>
        <v>6131079</v>
      </c>
      <c r="J41" s="40">
        <f t="shared" si="4"/>
        <v>5.4305991965204765E-3</v>
      </c>
      <c r="K41" s="122" t="str">
        <f>IF(VLOOKUP(A41,Model!A:B,2,FALSE)&lt;&gt;"","Yes","No")</f>
        <v>Yes</v>
      </c>
      <c r="L41" s="122" t="str">
        <f t="shared" si="3"/>
        <v xml:space="preserve"> </v>
      </c>
    </row>
    <row r="42" spans="1:12" x14ac:dyDescent="0.2">
      <c r="A42" s="122" t="s">
        <v>197</v>
      </c>
      <c r="B42" s="34">
        <v>1769795</v>
      </c>
      <c r="C42" s="34">
        <v>0</v>
      </c>
      <c r="D42" s="34">
        <f t="shared" si="5"/>
        <v>1769795</v>
      </c>
      <c r="E42" s="34">
        <f t="shared" si="1"/>
        <v>0</v>
      </c>
      <c r="G42" s="28"/>
      <c r="H42" s="28"/>
      <c r="I42" s="125">
        <f t="shared" si="6"/>
        <v>0</v>
      </c>
      <c r="J42" s="40">
        <f t="shared" si="4"/>
        <v>0</v>
      </c>
      <c r="K42" s="122" t="str">
        <f>IF(VLOOKUP(A42,Model!A:B,2,FALSE)&lt;&gt;"","Yes","No")</f>
        <v>Yes</v>
      </c>
      <c r="L42" s="122" t="str">
        <f t="shared" si="3"/>
        <v xml:space="preserve"> </v>
      </c>
    </row>
    <row r="43" spans="1:12" s="139" customFormat="1" x14ac:dyDescent="0.2">
      <c r="A43" s="139" t="s">
        <v>198</v>
      </c>
      <c r="B43" s="28">
        <v>41761883</v>
      </c>
      <c r="C43" s="28">
        <v>434289</v>
      </c>
      <c r="D43" s="28">
        <f t="shared" si="5"/>
        <v>42196172</v>
      </c>
      <c r="E43" s="28">
        <f t="shared" si="1"/>
        <v>-217144.5</v>
      </c>
      <c r="F43" s="28"/>
      <c r="G43" s="28">
        <f>-0.5*(38365973+435357+176098)</f>
        <v>-19488714</v>
      </c>
      <c r="H43" s="28"/>
      <c r="I43" s="125">
        <f t="shared" si="6"/>
        <v>22490313.5</v>
      </c>
      <c r="J43" s="40">
        <f t="shared" si="4"/>
        <v>1.9920780407917369E-2</v>
      </c>
      <c r="K43" s="122" t="str">
        <f>IF(VLOOKUP(A43,Model!A:B,2,FALSE)&lt;&gt;"","Yes","No")</f>
        <v>Yes</v>
      </c>
      <c r="L43" s="139" t="str">
        <f t="shared" si="3"/>
        <v>50% discount for operating projects</v>
      </c>
    </row>
    <row r="44" spans="1:12" x14ac:dyDescent="0.2">
      <c r="A44" s="122" t="s">
        <v>199</v>
      </c>
      <c r="B44" s="34">
        <v>1655451</v>
      </c>
      <c r="C44" s="34">
        <v>0</v>
      </c>
      <c r="D44" s="34">
        <f t="shared" si="5"/>
        <v>1655451</v>
      </c>
      <c r="E44" s="34">
        <f t="shared" si="1"/>
        <v>0</v>
      </c>
      <c r="G44" s="28"/>
      <c r="H44" s="28"/>
      <c r="I44" s="125">
        <f t="shared" si="6"/>
        <v>0</v>
      </c>
      <c r="J44" s="40">
        <f t="shared" si="4"/>
        <v>0</v>
      </c>
      <c r="K44" s="122" t="str">
        <f>IF(VLOOKUP(A44,Model!A:B,2,FALSE)&lt;&gt;"","Yes","No")</f>
        <v>Yes</v>
      </c>
      <c r="L44" s="122" t="str">
        <f t="shared" si="3"/>
        <v xml:space="preserve"> </v>
      </c>
    </row>
    <row r="45" spans="1:12" x14ac:dyDescent="0.2">
      <c r="A45" s="122" t="s">
        <v>410</v>
      </c>
      <c r="B45" s="34">
        <v>11822230</v>
      </c>
      <c r="C45" s="34">
        <v>0</v>
      </c>
      <c r="D45" s="34">
        <f t="shared" si="5"/>
        <v>11822230</v>
      </c>
      <c r="E45" s="34">
        <f t="shared" si="1"/>
        <v>0</v>
      </c>
      <c r="G45" s="28">
        <v>-11822230</v>
      </c>
      <c r="H45" s="28"/>
      <c r="I45" s="125">
        <f t="shared" si="6"/>
        <v>0</v>
      </c>
      <c r="J45" s="40">
        <f t="shared" si="4"/>
        <v>0</v>
      </c>
      <c r="K45" s="122" t="str">
        <f>IF(VLOOKUP(A45,Model!A:B,2,FALSE)&lt;&gt;"","Yes","No")</f>
        <v>Yes</v>
      </c>
      <c r="L45" s="122" t="str">
        <f t="shared" si="3"/>
        <v>Fixed at $25,000 (hardcoded in Model)</v>
      </c>
    </row>
    <row r="46" spans="1:12" x14ac:dyDescent="0.2">
      <c r="A46" s="122" t="s">
        <v>425</v>
      </c>
      <c r="B46" s="34">
        <v>94000</v>
      </c>
      <c r="C46" s="34">
        <v>0</v>
      </c>
      <c r="D46" s="34">
        <f t="shared" si="5"/>
        <v>94000</v>
      </c>
      <c r="E46" s="34">
        <f t="shared" si="1"/>
        <v>0</v>
      </c>
      <c r="G46" s="28"/>
      <c r="H46" s="28"/>
      <c r="I46" s="125">
        <f t="shared" si="6"/>
        <v>0</v>
      </c>
      <c r="J46" s="40">
        <f t="shared" si="4"/>
        <v>0</v>
      </c>
      <c r="K46" s="122" t="str">
        <f>IF(VLOOKUP(A46,Model!A:B,2,FALSE)&lt;&gt;"","Yes","No")</f>
        <v>Yes</v>
      </c>
      <c r="L46" s="122" t="str">
        <f t="shared" si="3"/>
        <v>Debt Service related expenses</v>
      </c>
    </row>
    <row r="47" spans="1:12" x14ac:dyDescent="0.2">
      <c r="A47" s="122" t="s">
        <v>426</v>
      </c>
      <c r="B47" s="34">
        <v>94200</v>
      </c>
      <c r="C47" s="34">
        <v>0</v>
      </c>
      <c r="D47" s="34">
        <f t="shared" si="5"/>
        <v>94200</v>
      </c>
      <c r="E47" s="34">
        <f t="shared" si="1"/>
        <v>0</v>
      </c>
      <c r="G47" s="28"/>
      <c r="H47" s="28"/>
      <c r="I47" s="125">
        <f t="shared" si="6"/>
        <v>0</v>
      </c>
      <c r="J47" s="40">
        <f t="shared" si="4"/>
        <v>0</v>
      </c>
      <c r="K47" s="122" t="str">
        <f>IF(VLOOKUP(A47,Model!A:B,2,FALSE)&lt;&gt;"","Yes","No")</f>
        <v>Yes</v>
      </c>
      <c r="L47" s="122" t="str">
        <f t="shared" si="3"/>
        <v>Debt Service related expenses</v>
      </c>
    </row>
    <row r="48" spans="1:12" x14ac:dyDescent="0.2">
      <c r="A48" s="122" t="s">
        <v>443</v>
      </c>
      <c r="B48" s="34">
        <v>170400</v>
      </c>
      <c r="C48" s="34">
        <v>0</v>
      </c>
      <c r="D48" s="34">
        <f t="shared" si="5"/>
        <v>170400</v>
      </c>
      <c r="E48" s="34">
        <f t="shared" si="1"/>
        <v>0</v>
      </c>
      <c r="G48" s="28"/>
      <c r="H48" s="28"/>
      <c r="I48" s="125">
        <f t="shared" si="6"/>
        <v>0</v>
      </c>
      <c r="J48" s="40">
        <f t="shared" si="4"/>
        <v>0</v>
      </c>
      <c r="K48" s="122" t="str">
        <f>IF(VLOOKUP(A48,Model!A:B,2,FALSE)&lt;&gt;"","Yes","No")</f>
        <v>Yes</v>
      </c>
      <c r="L48" s="122" t="str">
        <f t="shared" si="3"/>
        <v>Debt Service related expenses</v>
      </c>
    </row>
    <row r="49" spans="1:12" x14ac:dyDescent="0.2">
      <c r="A49" s="122" t="s">
        <v>427</v>
      </c>
      <c r="B49" s="34">
        <v>104500</v>
      </c>
      <c r="C49" s="34">
        <v>0</v>
      </c>
      <c r="D49" s="34">
        <f t="shared" si="5"/>
        <v>104500</v>
      </c>
      <c r="E49" s="34">
        <f t="shared" si="1"/>
        <v>0</v>
      </c>
      <c r="G49" s="28"/>
      <c r="H49" s="28"/>
      <c r="I49" s="125">
        <f t="shared" si="6"/>
        <v>0</v>
      </c>
      <c r="J49" s="40">
        <f t="shared" si="4"/>
        <v>0</v>
      </c>
      <c r="K49" s="122" t="str">
        <f>IF(VLOOKUP(A49,Model!A:B,2,FALSE)&lt;&gt;"","Yes","No")</f>
        <v>Yes</v>
      </c>
      <c r="L49" s="122" t="str">
        <f t="shared" si="3"/>
        <v>Debt Service related expenses</v>
      </c>
    </row>
    <row r="50" spans="1:12" x14ac:dyDescent="0.2">
      <c r="A50" s="122" t="s">
        <v>428</v>
      </c>
      <c r="B50" s="34">
        <v>107000</v>
      </c>
      <c r="C50" s="34">
        <v>0</v>
      </c>
      <c r="D50" s="34">
        <f t="shared" si="5"/>
        <v>107000</v>
      </c>
      <c r="E50" s="34">
        <f t="shared" si="1"/>
        <v>0</v>
      </c>
      <c r="G50" s="28"/>
      <c r="H50" s="28"/>
      <c r="I50" s="125">
        <f t="shared" si="6"/>
        <v>0</v>
      </c>
      <c r="J50" s="40">
        <f t="shared" si="4"/>
        <v>0</v>
      </c>
      <c r="K50" s="122" t="str">
        <f>IF(VLOOKUP(A50,Model!A:B,2,FALSE)&lt;&gt;"","Yes","No")</f>
        <v>Yes</v>
      </c>
      <c r="L50" s="122" t="str">
        <f t="shared" si="3"/>
        <v>Debt Service related expenses</v>
      </c>
    </row>
    <row r="51" spans="1:12" x14ac:dyDescent="0.2">
      <c r="A51" s="122" t="s">
        <v>444</v>
      </c>
      <c r="B51" s="34">
        <v>124500</v>
      </c>
      <c r="C51" s="34">
        <v>0</v>
      </c>
      <c r="D51" s="34">
        <f t="shared" si="5"/>
        <v>124500</v>
      </c>
      <c r="E51" s="34">
        <f t="shared" si="1"/>
        <v>0</v>
      </c>
      <c r="G51" s="28"/>
      <c r="H51" s="28"/>
      <c r="I51" s="125">
        <f t="shared" si="6"/>
        <v>0</v>
      </c>
      <c r="J51" s="40">
        <f t="shared" si="4"/>
        <v>0</v>
      </c>
      <c r="K51" s="122" t="str">
        <f>IF(VLOOKUP(A51,Model!A:B,2,FALSE)&lt;&gt;"","Yes","No")</f>
        <v>Yes</v>
      </c>
      <c r="L51" s="122" t="str">
        <f t="shared" si="3"/>
        <v>Debt Service related expenses</v>
      </c>
    </row>
    <row r="52" spans="1:12" x14ac:dyDescent="0.2">
      <c r="A52" s="122" t="s">
        <v>461</v>
      </c>
      <c r="B52" s="34">
        <v>156982</v>
      </c>
      <c r="C52" s="34">
        <v>0</v>
      </c>
      <c r="D52" s="34">
        <f t="shared" si="5"/>
        <v>156982</v>
      </c>
      <c r="E52" s="34">
        <f t="shared" si="1"/>
        <v>0</v>
      </c>
      <c r="G52" s="28"/>
      <c r="H52" s="28"/>
      <c r="I52" s="125">
        <f t="shared" si="6"/>
        <v>156982</v>
      </c>
      <c r="J52" s="40">
        <f t="shared" si="4"/>
        <v>1.3904670337279578E-4</v>
      </c>
      <c r="K52" s="122" t="str">
        <f>IF(VLOOKUP(A52,Model!A:B,2,FALSE)&lt;&gt;"","Yes","No")</f>
        <v>Yes</v>
      </c>
      <c r="L52" s="122" t="str">
        <f t="shared" si="3"/>
        <v xml:space="preserve"> </v>
      </c>
    </row>
    <row r="53" spans="1:12" x14ac:dyDescent="0.2">
      <c r="A53" s="122" t="s">
        <v>203</v>
      </c>
      <c r="B53" s="34">
        <v>2050</v>
      </c>
      <c r="C53" s="34">
        <v>0</v>
      </c>
      <c r="D53" s="34">
        <f t="shared" si="5"/>
        <v>2050</v>
      </c>
      <c r="E53" s="34">
        <f t="shared" si="1"/>
        <v>0</v>
      </c>
      <c r="G53" s="28"/>
      <c r="H53" s="28"/>
      <c r="I53" s="125">
        <f t="shared" si="6"/>
        <v>2050</v>
      </c>
      <c r="J53" s="40">
        <f t="shared" si="4"/>
        <v>1.8157861532801937E-6</v>
      </c>
      <c r="K53" s="122" t="str">
        <f>IF(VLOOKUP(A53,Model!A:B,2,FALSE)&lt;&gt;"","Yes","No")</f>
        <v>Yes</v>
      </c>
      <c r="L53" s="122" t="str">
        <f t="shared" si="3"/>
        <v xml:space="preserve"> </v>
      </c>
    </row>
    <row r="54" spans="1:12" x14ac:dyDescent="0.2">
      <c r="A54" s="122" t="s">
        <v>204</v>
      </c>
      <c r="B54" s="34">
        <v>2900</v>
      </c>
      <c r="C54" s="34">
        <v>0</v>
      </c>
      <c r="D54" s="34">
        <f t="shared" si="5"/>
        <v>2900</v>
      </c>
      <c r="E54" s="34">
        <f t="shared" si="1"/>
        <v>0</v>
      </c>
      <c r="G54" s="28"/>
      <c r="H54" s="28"/>
      <c r="I54" s="125">
        <f t="shared" si="6"/>
        <v>2900</v>
      </c>
      <c r="J54" s="40">
        <f t="shared" si="4"/>
        <v>2.5686730948841763E-6</v>
      </c>
      <c r="K54" s="122" t="str">
        <f>IF(VLOOKUP(A54,Model!A:B,2,FALSE)&lt;&gt;"","Yes","No")</f>
        <v>Yes</v>
      </c>
      <c r="L54" s="122" t="str">
        <f t="shared" si="3"/>
        <v xml:space="preserve"> </v>
      </c>
    </row>
    <row r="55" spans="1:12" x14ac:dyDescent="0.2">
      <c r="A55" s="139" t="s">
        <v>205</v>
      </c>
      <c r="B55" s="28">
        <v>2176364</v>
      </c>
      <c r="C55" s="28">
        <v>30396610</v>
      </c>
      <c r="D55" s="28">
        <f t="shared" si="5"/>
        <v>32572974</v>
      </c>
      <c r="E55" s="28">
        <f t="shared" si="1"/>
        <v>-15198305</v>
      </c>
      <c r="F55" s="28"/>
      <c r="G55" s="28"/>
      <c r="H55" s="28"/>
      <c r="I55" s="126">
        <f t="shared" si="6"/>
        <v>17374669</v>
      </c>
      <c r="J55" s="40">
        <f t="shared" si="4"/>
        <v>1.5389601652695917E-2</v>
      </c>
      <c r="K55" s="122" t="str">
        <f>IF(VLOOKUP(A55,Model!A:B,2,FALSE)&lt;&gt;"","Yes","No")</f>
        <v>Yes</v>
      </c>
    </row>
    <row r="56" spans="1:12" x14ac:dyDescent="0.2">
      <c r="A56" s="145" t="s">
        <v>325</v>
      </c>
      <c r="B56" s="120">
        <v>1009710</v>
      </c>
      <c r="C56" s="120">
        <v>1065998</v>
      </c>
      <c r="D56" s="120">
        <f t="shared" si="5"/>
        <v>2075708</v>
      </c>
      <c r="E56" s="120">
        <f t="shared" si="1"/>
        <v>-532999</v>
      </c>
      <c r="F56" s="120"/>
      <c r="G56" s="120"/>
      <c r="H56" s="120"/>
      <c r="I56" s="146">
        <f t="shared" si="6"/>
        <v>0</v>
      </c>
      <c r="J56" s="155">
        <f t="shared" si="4"/>
        <v>0</v>
      </c>
      <c r="K56" s="145" t="str">
        <f>IF(VLOOKUP(A56,Model!A:B,2,FALSE)&lt;&gt;"","Yes","No")</f>
        <v>Yes</v>
      </c>
      <c r="L56" s="145" t="s">
        <v>512</v>
      </c>
    </row>
    <row r="57" spans="1:12" x14ac:dyDescent="0.2">
      <c r="A57" s="145" t="s">
        <v>324</v>
      </c>
      <c r="B57" s="120">
        <v>700</v>
      </c>
      <c r="C57" s="120">
        <v>0</v>
      </c>
      <c r="D57" s="120">
        <f t="shared" si="5"/>
        <v>700</v>
      </c>
      <c r="E57" s="120">
        <f t="shared" si="1"/>
        <v>0</v>
      </c>
      <c r="F57" s="120"/>
      <c r="G57" s="120"/>
      <c r="H57" s="120"/>
      <c r="I57" s="146">
        <f t="shared" si="6"/>
        <v>0</v>
      </c>
      <c r="J57" s="155">
        <f t="shared" si="4"/>
        <v>0</v>
      </c>
      <c r="K57" s="145" t="str">
        <f>IF(VLOOKUP(A57,Model!A:B,2,FALSE)&lt;&gt;"","Yes","No")</f>
        <v>Yes</v>
      </c>
      <c r="L57" s="145" t="s">
        <v>512</v>
      </c>
    </row>
    <row r="58" spans="1:12" x14ac:dyDescent="0.2">
      <c r="A58" s="122" t="s">
        <v>206</v>
      </c>
      <c r="B58" s="34">
        <v>200</v>
      </c>
      <c r="C58" s="34">
        <v>0</v>
      </c>
      <c r="D58" s="34">
        <f t="shared" si="5"/>
        <v>200</v>
      </c>
      <c r="E58" s="34">
        <f t="shared" si="1"/>
        <v>0</v>
      </c>
      <c r="F58" s="28"/>
      <c r="G58" s="28"/>
      <c r="H58" s="28"/>
      <c r="I58" s="125">
        <f t="shared" si="6"/>
        <v>0</v>
      </c>
      <c r="J58" s="40">
        <f t="shared" si="4"/>
        <v>0</v>
      </c>
      <c r="K58" s="122" t="str">
        <f>IF(VLOOKUP(A58,Model!A:B,2,FALSE)&lt;&gt;"","Yes","No")</f>
        <v>Yes</v>
      </c>
      <c r="L58" s="122" t="str">
        <f t="shared" ref="L58:L77" si="7">IF((VLOOKUP(A58,Crosswalk,3,FALSE))=0," ",(VLOOKUP(A58,Crosswalk,3,FALSE)))</f>
        <v xml:space="preserve"> </v>
      </c>
    </row>
    <row r="59" spans="1:12" x14ac:dyDescent="0.2">
      <c r="A59" s="122" t="s">
        <v>207</v>
      </c>
      <c r="B59" s="34">
        <v>87392589</v>
      </c>
      <c r="C59" s="34">
        <v>96117519</v>
      </c>
      <c r="D59" s="34">
        <f t="shared" si="5"/>
        <v>183510108</v>
      </c>
      <c r="E59" s="34">
        <f t="shared" si="1"/>
        <v>-48058759.5</v>
      </c>
      <c r="F59" s="28"/>
      <c r="G59" s="28"/>
      <c r="H59" s="28"/>
      <c r="I59" s="125">
        <f t="shared" si="6"/>
        <v>135451348.5</v>
      </c>
      <c r="J59" s="40">
        <f t="shared" si="4"/>
        <v>0.11997594295094142</v>
      </c>
      <c r="K59" s="122" t="str">
        <f>IF(VLOOKUP(A59,Model!A:B,2,FALSE)&lt;&gt;"","Yes","No")</f>
        <v>Yes</v>
      </c>
      <c r="L59" s="122" t="str">
        <f t="shared" si="7"/>
        <v xml:space="preserve"> </v>
      </c>
    </row>
    <row r="60" spans="1:12" x14ac:dyDescent="0.2">
      <c r="A60" s="122" t="s">
        <v>208</v>
      </c>
      <c r="B60" s="34">
        <v>2097534</v>
      </c>
      <c r="C60" s="34">
        <v>0</v>
      </c>
      <c r="D60" s="34">
        <f t="shared" ref="D60:D64" si="8">SUM(B60:C60)</f>
        <v>2097534</v>
      </c>
      <c r="E60" s="34">
        <f t="shared" ref="E60:E77" si="9">C60*-0.5</f>
        <v>0</v>
      </c>
      <c r="F60" s="28"/>
      <c r="G60" s="28"/>
      <c r="H60" s="28"/>
      <c r="I60" s="125">
        <f t="shared" si="6"/>
        <v>2097534</v>
      </c>
      <c r="J60" s="40">
        <f t="shared" si="4"/>
        <v>1.8578893625533744E-3</v>
      </c>
      <c r="K60" s="122" t="str">
        <f>IF(VLOOKUP(A60,Model!A:B,2,FALSE)&lt;&gt;"","Yes","No")</f>
        <v>Yes</v>
      </c>
      <c r="L60" s="122" t="str">
        <f t="shared" si="7"/>
        <v xml:space="preserve"> </v>
      </c>
    </row>
    <row r="61" spans="1:12" x14ac:dyDescent="0.2">
      <c r="A61" s="122" t="s">
        <v>209</v>
      </c>
      <c r="B61" s="34">
        <v>70817191</v>
      </c>
      <c r="C61" s="34">
        <v>66653585</v>
      </c>
      <c r="D61" s="34">
        <f t="shared" si="8"/>
        <v>137470776</v>
      </c>
      <c r="E61" s="34">
        <f t="shared" si="9"/>
        <v>-33326792.5</v>
      </c>
      <c r="F61" s="28"/>
      <c r="G61" s="28"/>
      <c r="H61" s="28"/>
      <c r="I61" s="125">
        <f t="shared" ref="I61:I77" si="10">IF((VLOOKUP(A61,Crosswalk,2,FALSE)="Excluded"),0,(D61+E61+F61+G61+H61))</f>
        <v>104143983.5</v>
      </c>
      <c r="J61" s="40">
        <f t="shared" si="4"/>
        <v>9.2245464969141933E-2</v>
      </c>
      <c r="K61" s="122" t="str">
        <f>IF(VLOOKUP(A61,Model!A:B,2,FALSE)&lt;&gt;"","Yes","No")</f>
        <v>Yes</v>
      </c>
      <c r="L61" s="122" t="str">
        <f t="shared" si="7"/>
        <v xml:space="preserve"> </v>
      </c>
    </row>
    <row r="62" spans="1:12" x14ac:dyDescent="0.2">
      <c r="A62" s="122" t="s">
        <v>210</v>
      </c>
      <c r="B62" s="34">
        <v>7611042</v>
      </c>
      <c r="C62" s="34">
        <v>335000</v>
      </c>
      <c r="D62" s="34">
        <f t="shared" si="8"/>
        <v>7946042</v>
      </c>
      <c r="E62" s="34">
        <f t="shared" si="9"/>
        <v>-167500</v>
      </c>
      <c r="F62" s="28"/>
      <c r="G62" s="28"/>
      <c r="H62" s="28"/>
      <c r="I62" s="125">
        <f t="shared" si="10"/>
        <v>7778542</v>
      </c>
      <c r="J62" s="40">
        <f t="shared" si="4"/>
        <v>6.8898384664919142E-3</v>
      </c>
      <c r="K62" s="122" t="str">
        <f>IF(VLOOKUP(A62,Model!A:B,2,FALSE)&lt;&gt;"","Yes","No")</f>
        <v>Yes</v>
      </c>
      <c r="L62" s="122" t="str">
        <f t="shared" si="7"/>
        <v xml:space="preserve"> </v>
      </c>
    </row>
    <row r="63" spans="1:12" x14ac:dyDescent="0.2">
      <c r="A63" s="122" t="s">
        <v>211</v>
      </c>
      <c r="B63" s="34">
        <v>1462004</v>
      </c>
      <c r="C63" s="34">
        <v>0</v>
      </c>
      <c r="D63" s="34">
        <f t="shared" si="8"/>
        <v>1462004</v>
      </c>
      <c r="E63" s="34">
        <f t="shared" si="9"/>
        <v>0</v>
      </c>
      <c r="F63" s="28"/>
      <c r="G63" s="28"/>
      <c r="H63" s="28"/>
      <c r="I63" s="125">
        <f t="shared" si="10"/>
        <v>1462004</v>
      </c>
      <c r="J63" s="40">
        <f t="shared" si="4"/>
        <v>1.2949690825562225E-3</v>
      </c>
      <c r="K63" s="122" t="str">
        <f>IF(VLOOKUP(A63,Model!A:B,2,FALSE)&lt;&gt;"","Yes","No")</f>
        <v>Yes</v>
      </c>
      <c r="L63" s="122" t="str">
        <f t="shared" si="7"/>
        <v xml:space="preserve"> </v>
      </c>
    </row>
    <row r="64" spans="1:12" x14ac:dyDescent="0.2">
      <c r="A64" s="122" t="s">
        <v>212</v>
      </c>
      <c r="B64" s="34">
        <v>3380127</v>
      </c>
      <c r="C64" s="34">
        <v>0</v>
      </c>
      <c r="D64" s="34">
        <f t="shared" si="8"/>
        <v>3380127</v>
      </c>
      <c r="E64" s="34">
        <f t="shared" si="9"/>
        <v>0</v>
      </c>
      <c r="F64" s="28"/>
      <c r="G64" s="28"/>
      <c r="H64" s="28"/>
      <c r="I64" s="125">
        <f t="shared" si="10"/>
        <v>3380127</v>
      </c>
      <c r="J64" s="40">
        <f t="shared" si="4"/>
        <v>2.9939452697212298E-3</v>
      </c>
      <c r="K64" s="122" t="str">
        <f>IF(VLOOKUP(A64,Model!A:B,2,FALSE)&lt;&gt;"","Yes","No")</f>
        <v>Yes</v>
      </c>
      <c r="L64" s="122" t="str">
        <f t="shared" si="7"/>
        <v xml:space="preserve"> </v>
      </c>
    </row>
    <row r="65" spans="1:12" x14ac:dyDescent="0.2">
      <c r="A65" s="122" t="s">
        <v>213</v>
      </c>
      <c r="B65" s="34">
        <v>4607642</v>
      </c>
      <c r="C65" s="34">
        <v>2803055</v>
      </c>
      <c r="D65" s="34">
        <f t="shared" ref="D65:D77" si="11">SUM(B65:C65)</f>
        <v>7410697</v>
      </c>
      <c r="E65" s="34">
        <f t="shared" si="9"/>
        <v>-1401527.5</v>
      </c>
      <c r="F65" s="28"/>
      <c r="G65" s="28"/>
      <c r="H65" s="28"/>
      <c r="I65" s="125">
        <f t="shared" si="10"/>
        <v>6009169.5</v>
      </c>
      <c r="J65" s="40">
        <f t="shared" si="4"/>
        <v>5.3226179369822756E-3</v>
      </c>
      <c r="K65" s="122" t="str">
        <f>IF(VLOOKUP(A65,Model!A:B,2,FALSE)&lt;&gt;"","Yes","No")</f>
        <v>Yes</v>
      </c>
      <c r="L65" s="122" t="str">
        <f t="shared" si="7"/>
        <v xml:space="preserve"> </v>
      </c>
    </row>
    <row r="66" spans="1:12" x14ac:dyDescent="0.2">
      <c r="A66" s="122" t="s">
        <v>214</v>
      </c>
      <c r="B66" s="34">
        <v>3594193</v>
      </c>
      <c r="C66" s="34">
        <v>2306049</v>
      </c>
      <c r="D66" s="34">
        <f t="shared" si="11"/>
        <v>5900242</v>
      </c>
      <c r="E66" s="34">
        <f t="shared" si="9"/>
        <v>-1153024.5</v>
      </c>
      <c r="G66" s="28"/>
      <c r="H66" s="28"/>
      <c r="I66" s="125">
        <f t="shared" si="10"/>
        <v>4747217.5</v>
      </c>
      <c r="J66" s="40">
        <f t="shared" si="4"/>
        <v>4.204844782004594E-3</v>
      </c>
      <c r="K66" s="122" t="str">
        <f>IF(VLOOKUP(A66,Model!A:B,2,FALSE)&lt;&gt;"","Yes","No")</f>
        <v>Yes</v>
      </c>
      <c r="L66" s="122" t="str">
        <f t="shared" si="7"/>
        <v xml:space="preserve"> </v>
      </c>
    </row>
    <row r="67" spans="1:12" x14ac:dyDescent="0.2">
      <c r="A67" s="122" t="s">
        <v>215</v>
      </c>
      <c r="B67" s="34">
        <v>593952</v>
      </c>
      <c r="C67" s="34">
        <v>0</v>
      </c>
      <c r="D67" s="34">
        <f t="shared" si="11"/>
        <v>593952</v>
      </c>
      <c r="E67" s="34">
        <f t="shared" si="9"/>
        <v>0</v>
      </c>
      <c r="G67" s="28"/>
      <c r="H67" s="28"/>
      <c r="I67" s="125">
        <f t="shared" si="10"/>
        <v>593952</v>
      </c>
      <c r="J67" s="40">
        <f t="shared" ref="J67:J76" si="12">I67/(SUM($I$2:$I$77))</f>
        <v>5.2609259381125736E-4</v>
      </c>
      <c r="K67" s="122" t="str">
        <f>IF(VLOOKUP(A67,Model!A:B,2,FALSE)&lt;&gt;"","Yes","No")</f>
        <v>Yes</v>
      </c>
      <c r="L67" s="122" t="str">
        <f t="shared" si="7"/>
        <v xml:space="preserve"> </v>
      </c>
    </row>
    <row r="68" spans="1:12" x14ac:dyDescent="0.2">
      <c r="A68" s="122" t="s">
        <v>216</v>
      </c>
      <c r="B68" s="34">
        <v>97781157</v>
      </c>
      <c r="C68" s="34">
        <v>0</v>
      </c>
      <c r="D68" s="34">
        <f t="shared" si="11"/>
        <v>97781157</v>
      </c>
      <c r="E68" s="34">
        <f t="shared" si="9"/>
        <v>0</v>
      </c>
      <c r="F68" s="34">
        <f>-57865072-31907999</f>
        <v>-89773071</v>
      </c>
      <c r="I68" s="126">
        <f t="shared" si="10"/>
        <v>8008086</v>
      </c>
      <c r="J68" s="40">
        <f t="shared" si="12"/>
        <v>7.0931569136960847E-3</v>
      </c>
      <c r="K68" s="122" t="str">
        <f>IF(VLOOKUP(A68,Model!A:B,2,FALSE)&lt;&gt;"","Yes","No")</f>
        <v>Yes</v>
      </c>
      <c r="L68" s="122" t="str">
        <f>IF((VLOOKUP(A68,Crosswalk,3,FALSE))=0," ",(VLOOKUP(A68,Crosswalk,3,FALSE)))</f>
        <v>Excludes insurance claim payouts (529721 in subfund 700000 and 521900 in subfund 700001)</v>
      </c>
    </row>
    <row r="69" spans="1:12" x14ac:dyDescent="0.2">
      <c r="A69" s="122" t="s">
        <v>217</v>
      </c>
      <c r="B69" s="34">
        <v>25039862</v>
      </c>
      <c r="C69" s="34">
        <v>38542805</v>
      </c>
      <c r="D69" s="34">
        <f>SUM(B69:C69)</f>
        <v>63582667</v>
      </c>
      <c r="E69" s="34">
        <f t="shared" si="9"/>
        <v>-19271402.5</v>
      </c>
      <c r="I69" s="125">
        <f t="shared" si="10"/>
        <v>44311264.5</v>
      </c>
      <c r="J69" s="40">
        <f t="shared" si="12"/>
        <v>3.9248673421188394E-2</v>
      </c>
      <c r="K69" s="122" t="str">
        <f>IF(VLOOKUP(A69,Model!A:B,2,FALSE)&lt;&gt;"","Yes","No")</f>
        <v>Yes</v>
      </c>
      <c r="L69" s="122" t="str">
        <f t="shared" si="7"/>
        <v xml:space="preserve"> </v>
      </c>
    </row>
    <row r="70" spans="1:12" x14ac:dyDescent="0.2">
      <c r="A70" s="122" t="s">
        <v>218</v>
      </c>
      <c r="B70" s="34">
        <v>21178652</v>
      </c>
      <c r="C70" s="34">
        <v>10499594</v>
      </c>
      <c r="D70" s="34">
        <f t="shared" si="11"/>
        <v>31678246</v>
      </c>
      <c r="E70" s="34">
        <f t="shared" si="9"/>
        <v>-5249797</v>
      </c>
      <c r="I70" s="125">
        <f t="shared" si="10"/>
        <v>26428449</v>
      </c>
      <c r="J70" s="40">
        <f t="shared" si="12"/>
        <v>2.3408981339937456E-2</v>
      </c>
      <c r="K70" s="122" t="str">
        <f>IF(VLOOKUP(A70,Model!A:B,2,FALSE)&lt;&gt;"","Yes","No")</f>
        <v>Yes</v>
      </c>
      <c r="L70" s="122" t="str">
        <f t="shared" si="7"/>
        <v xml:space="preserve"> </v>
      </c>
    </row>
    <row r="71" spans="1:12" x14ac:dyDescent="0.2">
      <c r="A71" s="122" t="s">
        <v>219</v>
      </c>
      <c r="B71" s="34">
        <v>5593194</v>
      </c>
      <c r="C71" s="34">
        <v>0</v>
      </c>
      <c r="D71" s="34">
        <f t="shared" si="11"/>
        <v>5593194</v>
      </c>
      <c r="E71" s="34">
        <f t="shared" si="9"/>
        <v>0</v>
      </c>
      <c r="I71" s="125">
        <f t="shared" si="10"/>
        <v>5593194</v>
      </c>
      <c r="J71" s="40">
        <f t="shared" si="12"/>
        <v>4.9541679111267606E-3</v>
      </c>
      <c r="K71" s="122" t="str">
        <f>IF(VLOOKUP(A71,Model!A:B,2,FALSE)&lt;&gt;"","Yes","No")</f>
        <v>Yes</v>
      </c>
      <c r="L71" s="122" t="str">
        <f t="shared" si="7"/>
        <v xml:space="preserve"> </v>
      </c>
    </row>
    <row r="72" spans="1:12" x14ac:dyDescent="0.2">
      <c r="A72" s="122" t="s">
        <v>220</v>
      </c>
      <c r="B72" s="34">
        <v>6644106</v>
      </c>
      <c r="C72" s="34">
        <v>0</v>
      </c>
      <c r="D72" s="34">
        <f t="shared" si="11"/>
        <v>6644106</v>
      </c>
      <c r="E72" s="34">
        <f t="shared" si="9"/>
        <v>0</v>
      </c>
      <c r="F72" s="34">
        <v>-2229183</v>
      </c>
      <c r="I72" s="125">
        <f t="shared" si="10"/>
        <v>4414923</v>
      </c>
      <c r="J72" s="40">
        <f t="shared" si="12"/>
        <v>3.9105151469259764E-3</v>
      </c>
      <c r="K72" s="122" t="str">
        <f>IF(VLOOKUP(A72,Model!A:B,2,FALSE)&lt;&gt;"","Yes","No")</f>
        <v>Yes</v>
      </c>
      <c r="L72" s="122" t="str">
        <f t="shared" si="7"/>
        <v>Excludes risk mgmt claim payouts (529700)</v>
      </c>
    </row>
    <row r="73" spans="1:12" x14ac:dyDescent="0.2">
      <c r="A73" s="122" t="s">
        <v>221</v>
      </c>
      <c r="B73" s="34">
        <v>4416315</v>
      </c>
      <c r="C73" s="34">
        <v>0</v>
      </c>
      <c r="D73" s="34">
        <f t="shared" si="11"/>
        <v>4416315</v>
      </c>
      <c r="E73" s="34">
        <f t="shared" si="9"/>
        <v>0</v>
      </c>
      <c r="F73" s="34">
        <v>-2253476</v>
      </c>
      <c r="I73" s="125">
        <f t="shared" si="10"/>
        <v>2162839</v>
      </c>
      <c r="J73" s="40">
        <f t="shared" si="12"/>
        <v>1.915733223402137E-3</v>
      </c>
      <c r="K73" s="122" t="str">
        <f>IF(VLOOKUP(A73,Model!A:B,2,FALSE)&lt;&gt;"","Yes","No")</f>
        <v>Yes</v>
      </c>
      <c r="L73" s="122" t="str">
        <f t="shared" si="7"/>
        <v>Excludes risk mgmt claim payouts (529700)</v>
      </c>
    </row>
    <row r="74" spans="1:12" x14ac:dyDescent="0.2">
      <c r="A74" s="122" t="s">
        <v>222</v>
      </c>
      <c r="B74" s="34">
        <v>43528464</v>
      </c>
      <c r="C74" s="34">
        <v>4725015</v>
      </c>
      <c r="D74" s="34">
        <f t="shared" si="11"/>
        <v>48253479</v>
      </c>
      <c r="E74" s="34">
        <f t="shared" si="9"/>
        <v>-2362507.5</v>
      </c>
      <c r="I74" s="125">
        <f t="shared" si="10"/>
        <v>45890971.5</v>
      </c>
      <c r="J74" s="40">
        <f t="shared" si="12"/>
        <v>4.064789785867122E-2</v>
      </c>
      <c r="K74" s="122" t="str">
        <f>IF(VLOOKUP(A74,Model!A:B,2,FALSE)&lt;&gt;"","Yes","No")</f>
        <v>Yes</v>
      </c>
      <c r="L74" s="122" t="str">
        <f t="shared" si="7"/>
        <v xml:space="preserve"> </v>
      </c>
    </row>
    <row r="75" spans="1:12" x14ac:dyDescent="0.2">
      <c r="A75" s="122" t="s">
        <v>223</v>
      </c>
      <c r="B75" s="34">
        <v>3346531</v>
      </c>
      <c r="C75" s="34">
        <v>242880</v>
      </c>
      <c r="D75" s="34">
        <f t="shared" si="11"/>
        <v>3589411</v>
      </c>
      <c r="E75" s="34">
        <f t="shared" si="9"/>
        <v>-121440</v>
      </c>
      <c r="I75" s="125">
        <f t="shared" si="10"/>
        <v>3467971</v>
      </c>
      <c r="J75" s="40">
        <f t="shared" si="12"/>
        <v>3.0717530350133008E-3</v>
      </c>
      <c r="K75" s="122" t="str">
        <f>IF(VLOOKUP(A75,Model!A:B,2,FALSE)&lt;&gt;"","Yes","No")</f>
        <v>Yes</v>
      </c>
      <c r="L75" s="122" t="str">
        <f t="shared" si="7"/>
        <v xml:space="preserve"> </v>
      </c>
    </row>
    <row r="76" spans="1:12" x14ac:dyDescent="0.2">
      <c r="A76" s="122" t="s">
        <v>224</v>
      </c>
      <c r="B76" s="34">
        <v>128119013</v>
      </c>
      <c r="C76" s="34">
        <v>108482</v>
      </c>
      <c r="D76" s="34">
        <f t="shared" si="11"/>
        <v>128227495</v>
      </c>
      <c r="E76" s="34">
        <f t="shared" si="9"/>
        <v>-54241</v>
      </c>
      <c r="F76" s="28">
        <f>-119616358.83-5721522.21</f>
        <v>-125337881.03999999</v>
      </c>
      <c r="I76" s="126">
        <f t="shared" si="10"/>
        <v>2835372.9600000083</v>
      </c>
      <c r="J76" s="40">
        <f t="shared" si="12"/>
        <v>2.5114297366600445E-3</v>
      </c>
      <c r="K76" s="122" t="str">
        <f>IF(VLOOKUP(A76,Model!A:B,2,FALSE)&lt;&gt;"","Yes","No")</f>
        <v>Yes</v>
      </c>
      <c r="L76" s="122" t="str">
        <f t="shared" si="7"/>
        <v>Excludes retirement payouts, PERS contributions, and disability/death benefits (547000, 547100)</v>
      </c>
    </row>
    <row r="77" spans="1:12" s="145" customFormat="1" x14ac:dyDescent="0.2">
      <c r="A77" s="145" t="s">
        <v>225</v>
      </c>
      <c r="B77" s="120">
        <v>8812</v>
      </c>
      <c r="C77" s="120">
        <v>0</v>
      </c>
      <c r="D77" s="34">
        <f t="shared" si="11"/>
        <v>8812</v>
      </c>
      <c r="E77" s="34">
        <f t="shared" si="9"/>
        <v>0</v>
      </c>
      <c r="F77" s="120"/>
      <c r="G77" s="120"/>
      <c r="H77" s="120"/>
      <c r="I77" s="146">
        <f t="shared" si="10"/>
        <v>0</v>
      </c>
      <c r="J77" s="40">
        <f>I77/(SUM($I$2:$I$77))</f>
        <v>0</v>
      </c>
      <c r="K77" s="122" t="str">
        <f>IF(VLOOKUP(A77,Model!A:B,2,FALSE)&lt;&gt;"","Yes","No")</f>
        <v>Yes</v>
      </c>
      <c r="L77" s="145" t="str">
        <f t="shared" si="7"/>
        <v xml:space="preserve"> </v>
      </c>
    </row>
    <row r="79" spans="1:12" x14ac:dyDescent="0.2">
      <c r="I79" s="125"/>
      <c r="J79" s="127">
        <f>SUM(J2:J77)</f>
        <v>0.99999999999999967</v>
      </c>
    </row>
  </sheetData>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9A203-61AF-4053-9EAB-A6B540516D35}">
  <sheetPr>
    <tabColor rgb="FF92D050"/>
  </sheetPr>
  <dimension ref="A1:S43"/>
  <sheetViews>
    <sheetView topLeftCell="A4" workbookViewId="0">
      <selection activeCell="D24" sqref="D24"/>
    </sheetView>
  </sheetViews>
  <sheetFormatPr defaultColWidth="8.7109375" defaultRowHeight="12.75" x14ac:dyDescent="0.2"/>
  <cols>
    <col min="1" max="1" width="11.42578125" style="122" customWidth="1"/>
    <col min="2" max="3" width="8.42578125" style="122" customWidth="1"/>
    <col min="4" max="4" width="12.5703125" style="34" customWidth="1"/>
    <col min="5" max="5" width="11.28515625" style="34" customWidth="1"/>
    <col min="6" max="6" width="11" style="122" customWidth="1"/>
    <col min="7" max="7" width="10.28515625" style="122" customWidth="1"/>
    <col min="8" max="8" width="9.7109375" style="122" customWidth="1"/>
    <col min="9" max="16384" width="8.7109375" style="122"/>
  </cols>
  <sheetData>
    <row r="1" spans="1:19" s="131" customFormat="1" ht="60" x14ac:dyDescent="0.25">
      <c r="A1" s="128" t="s">
        <v>226</v>
      </c>
      <c r="B1" s="129" t="s">
        <v>383</v>
      </c>
      <c r="C1" s="129" t="s">
        <v>408</v>
      </c>
      <c r="D1" s="87" t="s">
        <v>407</v>
      </c>
      <c r="E1" s="87" t="s">
        <v>384</v>
      </c>
      <c r="F1" s="130" t="s">
        <v>340</v>
      </c>
      <c r="G1" s="123" t="s">
        <v>338</v>
      </c>
      <c r="H1" s="123" t="s">
        <v>343</v>
      </c>
    </row>
    <row r="2" spans="1:19" ht="15" x14ac:dyDescent="0.25">
      <c r="A2" s="101" t="s">
        <v>161</v>
      </c>
      <c r="B2" s="102">
        <v>75</v>
      </c>
      <c r="C2" s="132">
        <v>-1</v>
      </c>
      <c r="D2" s="34">
        <f>-71-3</f>
        <v>-74</v>
      </c>
      <c r="E2" s="34">
        <f t="shared" ref="E2:E41" si="0">IF((VLOOKUP(A2,Crosswalk,2,FALSE)="Excluded"),0,(SUM(B2+C2+D2)))</f>
        <v>0</v>
      </c>
      <c r="F2" s="18">
        <f>E2/SUM($E$2:$E$41)</f>
        <v>0</v>
      </c>
      <c r="G2" s="122" t="str">
        <f t="shared" ref="G2:G41" si="1">IF(VLOOKUP(A2,Model,2,FALSE)&lt;&gt;"","Yes","No")</f>
        <v>Yes</v>
      </c>
      <c r="H2" s="133" t="str">
        <f t="shared" ref="H2:H39" si="2">IF((VLOOKUP(A2,Crosswalk,3,FALSE))=0," ",(VLOOKUP(A2,Crosswalk,3,FALSE)))</f>
        <v>100% Overhead</v>
      </c>
    </row>
    <row r="3" spans="1:19" ht="15" x14ac:dyDescent="0.25">
      <c r="A3" s="101" t="s">
        <v>162</v>
      </c>
      <c r="B3" s="102">
        <v>74</v>
      </c>
      <c r="C3" s="132">
        <v>-12</v>
      </c>
      <c r="D3" s="34">
        <f>-58-4+17</f>
        <v>-45</v>
      </c>
      <c r="E3" s="34">
        <f t="shared" si="0"/>
        <v>17</v>
      </c>
      <c r="F3" s="18">
        <f t="shared" ref="F3:F41" si="3">E3/SUM($E$2:$E$41)</f>
        <v>1.7482729976272681E-3</v>
      </c>
      <c r="G3" s="122" t="str">
        <f t="shared" si="1"/>
        <v>Yes</v>
      </c>
      <c r="H3" s="133" t="str">
        <f>IF((VLOOKUP(A3,Crosswalk,3,FALSE))=0," ",(VLOOKUP(A3,Crosswalk,3,FALSE)))</f>
        <v>Exclude IPR starting in FY 2017-18 actuals</v>
      </c>
      <c r="O3" s="122" t="s">
        <v>500</v>
      </c>
    </row>
    <row r="4" spans="1:19" ht="15" x14ac:dyDescent="0.25">
      <c r="A4" s="101" t="s">
        <v>342</v>
      </c>
      <c r="B4" s="102">
        <v>17</v>
      </c>
      <c r="C4" s="132">
        <v>-2</v>
      </c>
      <c r="D4" s="34">
        <v>-15</v>
      </c>
      <c r="E4" s="34">
        <f t="shared" si="0"/>
        <v>0</v>
      </c>
      <c r="F4" s="18">
        <f t="shared" si="3"/>
        <v>0</v>
      </c>
      <c r="G4" s="122" t="str">
        <f t="shared" si="1"/>
        <v>Yes</v>
      </c>
      <c r="H4" s="133" t="str">
        <f t="shared" si="2"/>
        <v>100% Overhead</v>
      </c>
    </row>
    <row r="5" spans="1:19" ht="15" x14ac:dyDescent="0.25">
      <c r="A5" s="101" t="s">
        <v>164</v>
      </c>
      <c r="B5" s="102">
        <v>25</v>
      </c>
      <c r="C5" s="132">
        <v>-2</v>
      </c>
      <c r="D5" s="34">
        <v>-23</v>
      </c>
      <c r="E5" s="34">
        <f t="shared" si="0"/>
        <v>0</v>
      </c>
      <c r="F5" s="18">
        <f t="shared" si="3"/>
        <v>0</v>
      </c>
      <c r="G5" s="122" t="str">
        <f t="shared" si="1"/>
        <v>Yes</v>
      </c>
      <c r="H5" s="133" t="str">
        <f t="shared" si="2"/>
        <v>100% Overhead</v>
      </c>
    </row>
    <row r="6" spans="1:19" ht="15" x14ac:dyDescent="0.25">
      <c r="A6" s="101" t="s">
        <v>165</v>
      </c>
      <c r="B6" s="102">
        <v>754</v>
      </c>
      <c r="C6" s="132">
        <v>-8</v>
      </c>
      <c r="D6" s="28">
        <v>-1</v>
      </c>
      <c r="E6" s="34">
        <f t="shared" si="0"/>
        <v>745</v>
      </c>
      <c r="F6" s="18">
        <f t="shared" si="3"/>
        <v>7.6615493131312634E-2</v>
      </c>
      <c r="G6" s="122" t="str">
        <f t="shared" si="1"/>
        <v>Yes</v>
      </c>
      <c r="H6" s="133" t="str">
        <f t="shared" si="2"/>
        <v>Exclude expenditures for emergency mgmt (FREO000004 Fund Center)</v>
      </c>
      <c r="O6" s="122" t="s">
        <v>499</v>
      </c>
    </row>
    <row r="7" spans="1:19" ht="15" x14ac:dyDescent="0.25">
      <c r="A7" s="101" t="s">
        <v>157</v>
      </c>
      <c r="B7" s="102">
        <v>11</v>
      </c>
      <c r="C7" s="132">
        <v>-1</v>
      </c>
      <c r="D7" s="34">
        <v>-10</v>
      </c>
      <c r="E7" s="34">
        <f t="shared" si="0"/>
        <v>0</v>
      </c>
      <c r="F7" s="18">
        <f t="shared" si="3"/>
        <v>0</v>
      </c>
      <c r="G7" s="122" t="str">
        <f t="shared" si="1"/>
        <v>Yes</v>
      </c>
      <c r="H7" s="133" t="str">
        <f t="shared" si="2"/>
        <v>100% Overhead</v>
      </c>
    </row>
    <row r="8" spans="1:19" ht="15" x14ac:dyDescent="0.25">
      <c r="A8" s="101" t="s">
        <v>166</v>
      </c>
      <c r="B8" s="102">
        <v>69</v>
      </c>
      <c r="C8" s="132">
        <v>-1</v>
      </c>
      <c r="D8" s="28"/>
      <c r="E8" s="34">
        <f t="shared" si="0"/>
        <v>68</v>
      </c>
      <c r="F8" s="18">
        <f t="shared" si="3"/>
        <v>6.9930919905090722E-3</v>
      </c>
      <c r="G8" s="122" t="str">
        <f t="shared" si="1"/>
        <v>Yes</v>
      </c>
      <c r="H8" s="122" t="str">
        <f t="shared" si="2"/>
        <v xml:space="preserve"> </v>
      </c>
    </row>
    <row r="9" spans="1:19" ht="15" x14ac:dyDescent="0.25">
      <c r="A9" s="134" t="s">
        <v>159</v>
      </c>
      <c r="B9" s="102">
        <v>300</v>
      </c>
      <c r="C9" s="132">
        <v>-18</v>
      </c>
      <c r="D9" s="28">
        <f>S9*-1</f>
        <v>-195</v>
      </c>
      <c r="E9" s="34">
        <f t="shared" si="0"/>
        <v>87</v>
      </c>
      <c r="F9" s="18">
        <f t="shared" si="3"/>
        <v>8.9470441643277835E-3</v>
      </c>
      <c r="G9" s="122" t="str">
        <f t="shared" si="1"/>
        <v>Yes</v>
      </c>
      <c r="H9" s="133" t="str">
        <f t="shared" si="2"/>
        <v>Exclude MFHR, MFDR, MFPU, MFOP, and MFFS cost centers. Beginning FY 18-19 need to also adjust for MFRB000002 functional area LACROPBAAR (accounts receiveable)</v>
      </c>
      <c r="N9" s="122" t="s">
        <v>501</v>
      </c>
      <c r="O9" s="122" t="s">
        <v>502</v>
      </c>
      <c r="P9" s="122" t="s">
        <v>503</v>
      </c>
      <c r="Q9" s="122" t="s">
        <v>505</v>
      </c>
      <c r="R9" s="122" t="s">
        <v>504</v>
      </c>
      <c r="S9" s="122">
        <f>8+64+35+38+28+1+6+7+2+6</f>
        <v>195</v>
      </c>
    </row>
    <row r="10" spans="1:19" ht="15" x14ac:dyDescent="0.25">
      <c r="A10" s="101" t="s">
        <v>163</v>
      </c>
      <c r="B10" s="102">
        <v>28</v>
      </c>
      <c r="C10" s="132">
        <v>-3</v>
      </c>
      <c r="D10" s="28">
        <f>-21-4+2</f>
        <v>-23</v>
      </c>
      <c r="E10" s="34">
        <f t="shared" si="0"/>
        <v>2</v>
      </c>
      <c r="F10" s="18">
        <f t="shared" si="3"/>
        <v>2.0567917619144331E-4</v>
      </c>
      <c r="G10" s="122" t="str">
        <f t="shared" si="1"/>
        <v>Yes</v>
      </c>
      <c r="H10" s="133" t="str">
        <f t="shared" si="2"/>
        <v>Exclude expenditures for Admin &amp; Support (LAMYAS Functional Area), include only OYVP for positions</v>
      </c>
      <c r="O10" s="122" t="s">
        <v>506</v>
      </c>
    </row>
    <row r="11" spans="1:19" ht="15" x14ac:dyDescent="0.25">
      <c r="A11" s="134" t="s">
        <v>160</v>
      </c>
      <c r="B11" s="102">
        <v>83</v>
      </c>
      <c r="C11" s="132">
        <v>-16</v>
      </c>
      <c r="D11" s="28">
        <v>-6.75</v>
      </c>
      <c r="E11" s="34">
        <f t="shared" si="0"/>
        <v>60.25</v>
      </c>
      <c r="F11" s="18">
        <f t="shared" si="3"/>
        <v>6.1960851827672298E-3</v>
      </c>
      <c r="G11" s="122" t="str">
        <f t="shared" si="1"/>
        <v>Yes</v>
      </c>
      <c r="H11" s="122" t="str">
        <f t="shared" si="2"/>
        <v>Exclude expenditures for Information &amp; Referral and Public Involvement best practices (CDIR - Info &amp; Rfrrl org unit for positions, CDNRNOPI - no positions)</v>
      </c>
    </row>
    <row r="12" spans="1:19" s="139" customFormat="1" ht="15" x14ac:dyDescent="0.25">
      <c r="A12" s="134" t="s">
        <v>316</v>
      </c>
      <c r="B12" s="22">
        <v>16</v>
      </c>
      <c r="C12" s="138">
        <v>-2</v>
      </c>
      <c r="D12" s="86">
        <f>-0.1-0.62-2.13-1.91-1.11-(0.508621*2.11)</f>
        <v>-6.9431903100000003</v>
      </c>
      <c r="E12" s="86">
        <f t="shared" si="0"/>
        <v>7.0568096899999997</v>
      </c>
      <c r="F12" s="18">
        <f t="shared" si="3"/>
        <v>7.2571940178949718E-4</v>
      </c>
      <c r="G12" s="139" t="str">
        <f t="shared" si="1"/>
        <v>Yes</v>
      </c>
      <c r="H12" s="139" t="str">
        <f t="shared" si="2"/>
        <v>Exclude expenditures for Citywide Equity, Civil Rights, and % admin (CDCE, CDCR &amp; portion CDAS) - use base budget for position allocations</v>
      </c>
    </row>
    <row r="13" spans="1:19" ht="15" x14ac:dyDescent="0.25">
      <c r="A13" s="101" t="s">
        <v>152</v>
      </c>
      <c r="B13" s="102">
        <v>17</v>
      </c>
      <c r="C13" s="132">
        <v>-5</v>
      </c>
      <c r="D13" s="28">
        <f>-7-1</f>
        <v>-8</v>
      </c>
      <c r="E13" s="34">
        <f t="shared" si="0"/>
        <v>4</v>
      </c>
      <c r="F13" s="18">
        <f t="shared" si="3"/>
        <v>4.1135835238288661E-4</v>
      </c>
      <c r="G13" s="122" t="str">
        <f t="shared" si="1"/>
        <v>Yes</v>
      </c>
      <c r="H13" s="133" t="str">
        <f t="shared" si="2"/>
        <v>Exclude Commissioner's Office (PACO000001)</v>
      </c>
    </row>
    <row r="14" spans="1:19" ht="15" x14ac:dyDescent="0.25">
      <c r="A14" s="101" t="s">
        <v>167</v>
      </c>
      <c r="B14" s="102">
        <v>5713</v>
      </c>
      <c r="C14" s="132">
        <v>-1740</v>
      </c>
      <c r="E14" s="34">
        <f t="shared" si="0"/>
        <v>3973</v>
      </c>
      <c r="F14" s="18">
        <f t="shared" si="3"/>
        <v>0.40858168350430213</v>
      </c>
      <c r="G14" s="122" t="str">
        <f t="shared" si="1"/>
        <v>Yes</v>
      </c>
      <c r="H14" s="122" t="str">
        <f t="shared" si="2"/>
        <v xml:space="preserve"> </v>
      </c>
    </row>
    <row r="15" spans="1:19" ht="15" x14ac:dyDescent="0.25">
      <c r="A15" s="101" t="s">
        <v>168</v>
      </c>
      <c r="B15" s="102">
        <v>1269</v>
      </c>
      <c r="C15" s="132">
        <v>-5</v>
      </c>
      <c r="D15" s="28"/>
      <c r="E15" s="34">
        <f t="shared" si="0"/>
        <v>1264</v>
      </c>
      <c r="F15" s="18">
        <f t="shared" si="3"/>
        <v>0.12998923935299217</v>
      </c>
      <c r="G15" s="122" t="str">
        <f t="shared" si="1"/>
        <v>Yes</v>
      </c>
      <c r="H15" s="122" t="str">
        <f t="shared" si="2"/>
        <v xml:space="preserve"> </v>
      </c>
    </row>
    <row r="16" spans="1:19" s="139" customFormat="1" ht="15" x14ac:dyDescent="0.25">
      <c r="A16" s="134" t="s">
        <v>151</v>
      </c>
      <c r="B16" s="22">
        <v>101</v>
      </c>
      <c r="C16" s="138">
        <v>-10</v>
      </c>
      <c r="D16" s="28">
        <f>(-0.5*6.61)-7.12</f>
        <v>-10.425000000000001</v>
      </c>
      <c r="E16" s="28">
        <f t="shared" si="0"/>
        <v>80.575000000000003</v>
      </c>
      <c r="F16" s="18">
        <f t="shared" si="3"/>
        <v>8.2862998108127733E-3</v>
      </c>
      <c r="G16" s="139" t="str">
        <f t="shared" si="1"/>
        <v>Yes</v>
      </c>
      <c r="H16" s="139" t="str">
        <f t="shared" si="2"/>
        <v>Exclude expenditures for Comp Planning &amp; 1/2 of district liaisons (CDAPDI - Dist Plan org unit for positions, CDCPCM - use base budget for positions)</v>
      </c>
    </row>
    <row r="17" spans="1:8" ht="15" x14ac:dyDescent="0.25">
      <c r="A17" s="101" t="s">
        <v>153</v>
      </c>
      <c r="B17" s="102">
        <v>12</v>
      </c>
      <c r="C17" s="132">
        <v>-1</v>
      </c>
      <c r="D17" s="34">
        <v>-11</v>
      </c>
      <c r="E17" s="34">
        <f t="shared" si="0"/>
        <v>0</v>
      </c>
      <c r="F17" s="18">
        <f t="shared" si="3"/>
        <v>0</v>
      </c>
      <c r="G17" s="122" t="str">
        <f t="shared" si="1"/>
        <v>Yes</v>
      </c>
      <c r="H17" s="133" t="str">
        <f t="shared" si="2"/>
        <v>100% Overhead</v>
      </c>
    </row>
    <row r="18" spans="1:8" ht="15" x14ac:dyDescent="0.25">
      <c r="A18" s="101" t="s">
        <v>154</v>
      </c>
      <c r="B18" s="102">
        <v>9</v>
      </c>
      <c r="C18" s="132">
        <v>-1</v>
      </c>
      <c r="D18" s="34">
        <v>-8</v>
      </c>
      <c r="E18" s="34">
        <f t="shared" si="0"/>
        <v>0</v>
      </c>
      <c r="F18" s="18">
        <f t="shared" si="3"/>
        <v>0</v>
      </c>
      <c r="G18" s="122" t="str">
        <f t="shared" si="1"/>
        <v>Yes</v>
      </c>
      <c r="H18" s="133" t="str">
        <f t="shared" si="2"/>
        <v>100% Overhead</v>
      </c>
    </row>
    <row r="19" spans="1:8" ht="15" x14ac:dyDescent="0.25">
      <c r="A19" s="101" t="s">
        <v>155</v>
      </c>
      <c r="B19" s="102">
        <v>13</v>
      </c>
      <c r="C19" s="132">
        <v>-3</v>
      </c>
      <c r="D19" s="34">
        <v>-10</v>
      </c>
      <c r="E19" s="34">
        <f t="shared" si="0"/>
        <v>0</v>
      </c>
      <c r="F19" s="18">
        <f t="shared" si="3"/>
        <v>0</v>
      </c>
      <c r="G19" s="122" t="str">
        <f t="shared" si="1"/>
        <v>Yes</v>
      </c>
      <c r="H19" s="133" t="str">
        <f t="shared" si="2"/>
        <v>100% Overhead</v>
      </c>
    </row>
    <row r="20" spans="1:8" ht="15" x14ac:dyDescent="0.25">
      <c r="A20" s="101" t="s">
        <v>170</v>
      </c>
      <c r="B20" s="102">
        <v>1020</v>
      </c>
      <c r="C20" s="132">
        <v>-68</v>
      </c>
      <c r="E20" s="34">
        <f t="shared" si="0"/>
        <v>952</v>
      </c>
      <c r="F20" s="18">
        <f t="shared" si="3"/>
        <v>9.7903287867127015E-2</v>
      </c>
      <c r="G20" s="122" t="str">
        <f t="shared" si="1"/>
        <v>Yes</v>
      </c>
      <c r="H20" s="122" t="str">
        <f t="shared" si="2"/>
        <v xml:space="preserve"> </v>
      </c>
    </row>
    <row r="21" spans="1:8" ht="15" x14ac:dyDescent="0.25">
      <c r="A21" s="101" t="s">
        <v>171</v>
      </c>
      <c r="B21" s="102">
        <v>187</v>
      </c>
      <c r="C21" s="132"/>
      <c r="E21" s="34">
        <f t="shared" si="0"/>
        <v>187</v>
      </c>
      <c r="F21" s="18">
        <f t="shared" si="3"/>
        <v>1.9231002973899951E-2</v>
      </c>
      <c r="G21" s="122" t="str">
        <f t="shared" si="1"/>
        <v>Yes</v>
      </c>
      <c r="H21" s="122" t="str">
        <f t="shared" si="2"/>
        <v xml:space="preserve"> </v>
      </c>
    </row>
    <row r="22" spans="1:8" ht="15" x14ac:dyDescent="0.25">
      <c r="A22" s="101" t="s">
        <v>173</v>
      </c>
      <c r="B22" s="102">
        <v>482</v>
      </c>
      <c r="C22" s="132">
        <v>-23</v>
      </c>
      <c r="E22" s="34">
        <f t="shared" si="0"/>
        <v>459</v>
      </c>
      <c r="F22" s="18">
        <f t="shared" si="3"/>
        <v>4.720337093593624E-2</v>
      </c>
      <c r="G22" s="122" t="str">
        <f t="shared" si="1"/>
        <v>Yes</v>
      </c>
      <c r="H22" s="122" t="str">
        <f t="shared" si="2"/>
        <v xml:space="preserve"> </v>
      </c>
    </row>
    <row r="23" spans="1:8" ht="15" x14ac:dyDescent="0.25">
      <c r="A23" s="101" t="s">
        <v>181</v>
      </c>
      <c r="B23" s="102">
        <v>6</v>
      </c>
      <c r="C23" s="132"/>
      <c r="D23" s="28">
        <v>-6</v>
      </c>
      <c r="E23" s="34">
        <f t="shared" si="0"/>
        <v>0</v>
      </c>
      <c r="F23" s="18">
        <f t="shared" si="3"/>
        <v>0</v>
      </c>
      <c r="G23" s="122" t="str">
        <f t="shared" si="1"/>
        <v>Yes</v>
      </c>
      <c r="H23" s="133" t="str">
        <f t="shared" si="2"/>
        <v>Fixed at $25,000 (hardcoded in Model)</v>
      </c>
    </row>
    <row r="24" spans="1:8" ht="15" x14ac:dyDescent="0.25">
      <c r="A24" s="101" t="s">
        <v>205</v>
      </c>
      <c r="B24" s="102">
        <v>31</v>
      </c>
      <c r="C24" s="132">
        <v>-4</v>
      </c>
      <c r="E24" s="34">
        <f t="shared" si="0"/>
        <v>27</v>
      </c>
      <c r="F24" s="18">
        <f t="shared" si="3"/>
        <v>2.7766688785844846E-3</v>
      </c>
      <c r="G24" s="122" t="str">
        <f t="shared" si="1"/>
        <v>Yes</v>
      </c>
      <c r="H24" s="122" t="str">
        <f t="shared" si="2"/>
        <v xml:space="preserve"> </v>
      </c>
    </row>
    <row r="25" spans="1:8" ht="15" x14ac:dyDescent="0.25">
      <c r="A25" s="101" t="s">
        <v>207</v>
      </c>
      <c r="B25" s="102">
        <v>636</v>
      </c>
      <c r="C25" s="132">
        <v>-38</v>
      </c>
      <c r="E25" s="34">
        <f t="shared" si="0"/>
        <v>598</v>
      </c>
      <c r="F25" s="18">
        <f t="shared" si="3"/>
        <v>6.149807368124155E-2</v>
      </c>
      <c r="G25" s="122" t="str">
        <f t="shared" si="1"/>
        <v>Yes</v>
      </c>
      <c r="H25" s="122" t="str">
        <f t="shared" si="2"/>
        <v xml:space="preserve"> </v>
      </c>
    </row>
    <row r="26" spans="1:8" ht="15" x14ac:dyDescent="0.25">
      <c r="A26" s="101" t="s">
        <v>208</v>
      </c>
      <c r="B26" s="102">
        <v>4</v>
      </c>
      <c r="C26" s="132">
        <v>-1</v>
      </c>
      <c r="E26" s="34">
        <f t="shared" si="0"/>
        <v>3</v>
      </c>
      <c r="F26" s="18">
        <f t="shared" si="3"/>
        <v>3.0851876428716494E-4</v>
      </c>
      <c r="G26" s="122" t="str">
        <f t="shared" si="1"/>
        <v>Yes</v>
      </c>
      <c r="H26" s="122" t="str">
        <f t="shared" si="2"/>
        <v xml:space="preserve"> </v>
      </c>
    </row>
    <row r="27" spans="1:8" ht="15" x14ac:dyDescent="0.25">
      <c r="A27" s="101" t="s">
        <v>209</v>
      </c>
      <c r="B27" s="102">
        <v>696</v>
      </c>
      <c r="C27" s="132">
        <v>-68</v>
      </c>
      <c r="E27" s="34">
        <f t="shared" si="0"/>
        <v>628</v>
      </c>
      <c r="F27" s="18">
        <f t="shared" si="3"/>
        <v>6.4583261324113198E-2</v>
      </c>
      <c r="G27" s="122" t="str">
        <f t="shared" si="1"/>
        <v>Yes</v>
      </c>
      <c r="H27" s="122" t="str">
        <f t="shared" si="2"/>
        <v xml:space="preserve"> </v>
      </c>
    </row>
    <row r="28" spans="1:8" ht="15" x14ac:dyDescent="0.25">
      <c r="A28" s="101" t="s">
        <v>210</v>
      </c>
      <c r="B28" s="102">
        <v>134</v>
      </c>
      <c r="C28" s="132">
        <v>-84</v>
      </c>
      <c r="E28" s="34">
        <f t="shared" si="0"/>
        <v>50</v>
      </c>
      <c r="F28" s="18">
        <f t="shared" si="3"/>
        <v>5.1419794047860828E-3</v>
      </c>
      <c r="G28" s="122" t="str">
        <f t="shared" si="1"/>
        <v>Yes</v>
      </c>
      <c r="H28" s="122" t="str">
        <f t="shared" si="2"/>
        <v xml:space="preserve"> </v>
      </c>
    </row>
    <row r="29" spans="1:8" ht="15" x14ac:dyDescent="0.25">
      <c r="A29" s="101" t="s">
        <v>211</v>
      </c>
      <c r="B29" s="102">
        <v>157</v>
      </c>
      <c r="C29" s="132">
        <v>-134</v>
      </c>
      <c r="E29" s="34">
        <f t="shared" si="0"/>
        <v>23</v>
      </c>
      <c r="F29" s="18">
        <f t="shared" si="3"/>
        <v>2.3653105262015982E-3</v>
      </c>
      <c r="G29" s="122" t="str">
        <f t="shared" si="1"/>
        <v>Yes</v>
      </c>
      <c r="H29" s="122" t="str">
        <f t="shared" si="2"/>
        <v xml:space="preserve"> </v>
      </c>
    </row>
    <row r="30" spans="1:8" ht="15" x14ac:dyDescent="0.25">
      <c r="A30" s="101" t="s">
        <v>212</v>
      </c>
      <c r="B30" s="102">
        <v>25</v>
      </c>
      <c r="C30" s="132">
        <v>-1</v>
      </c>
      <c r="E30" s="34">
        <f t="shared" si="0"/>
        <v>24</v>
      </c>
      <c r="F30" s="18">
        <f t="shared" si="3"/>
        <v>2.4681501142973196E-3</v>
      </c>
      <c r="G30" s="122" t="str">
        <f t="shared" si="1"/>
        <v>Yes</v>
      </c>
      <c r="H30" s="122" t="str">
        <f t="shared" si="2"/>
        <v xml:space="preserve"> </v>
      </c>
    </row>
    <row r="31" spans="1:8" ht="15" x14ac:dyDescent="0.25">
      <c r="A31" s="101" t="s">
        <v>214</v>
      </c>
      <c r="B31" s="102">
        <v>5</v>
      </c>
      <c r="C31" s="132">
        <v>-1</v>
      </c>
      <c r="E31" s="34">
        <f t="shared" si="0"/>
        <v>4</v>
      </c>
      <c r="F31" s="18">
        <f t="shared" si="3"/>
        <v>4.1135835238288661E-4</v>
      </c>
      <c r="G31" s="122" t="str">
        <f t="shared" si="1"/>
        <v>Yes</v>
      </c>
      <c r="H31" s="122" t="str">
        <f t="shared" si="2"/>
        <v xml:space="preserve"> </v>
      </c>
    </row>
    <row r="32" spans="1:8" ht="15" x14ac:dyDescent="0.25">
      <c r="A32" s="101" t="s">
        <v>215</v>
      </c>
      <c r="B32" s="102">
        <v>4</v>
      </c>
      <c r="C32" s="132"/>
      <c r="E32" s="34">
        <f t="shared" si="0"/>
        <v>4</v>
      </c>
      <c r="F32" s="18">
        <f t="shared" si="3"/>
        <v>4.1135835238288661E-4</v>
      </c>
      <c r="G32" s="122" t="str">
        <f t="shared" si="1"/>
        <v>Yes</v>
      </c>
      <c r="H32" s="122" t="str">
        <f t="shared" si="2"/>
        <v xml:space="preserve"> </v>
      </c>
    </row>
    <row r="33" spans="1:8" ht="15" x14ac:dyDescent="0.25">
      <c r="A33" s="101" t="s">
        <v>216</v>
      </c>
      <c r="B33" s="102">
        <v>14</v>
      </c>
      <c r="C33" s="132"/>
      <c r="E33" s="34">
        <f t="shared" si="0"/>
        <v>14</v>
      </c>
      <c r="F33" s="18">
        <f t="shared" si="3"/>
        <v>1.4397542333401032E-3</v>
      </c>
      <c r="G33" s="122" t="str">
        <f t="shared" si="1"/>
        <v>Yes</v>
      </c>
      <c r="H33" s="122" t="str">
        <f t="shared" si="2"/>
        <v>Excludes insurance claim payouts (529721 in subfund 700000 and 521900 in subfund 700001)</v>
      </c>
    </row>
    <row r="34" spans="1:8" ht="15" x14ac:dyDescent="0.25">
      <c r="A34" s="101" t="s">
        <v>217</v>
      </c>
      <c r="B34" s="102">
        <v>59</v>
      </c>
      <c r="C34" s="132">
        <v>-3</v>
      </c>
      <c r="E34" s="34">
        <f t="shared" si="0"/>
        <v>56</v>
      </c>
      <c r="F34" s="18">
        <f t="shared" si="3"/>
        <v>5.7590169333604129E-3</v>
      </c>
      <c r="G34" s="122" t="str">
        <f t="shared" si="1"/>
        <v>Yes</v>
      </c>
      <c r="H34" s="122" t="str">
        <f t="shared" si="2"/>
        <v xml:space="preserve"> </v>
      </c>
    </row>
    <row r="35" spans="1:8" ht="15" x14ac:dyDescent="0.25">
      <c r="A35" s="101" t="s">
        <v>218</v>
      </c>
      <c r="B35" s="102">
        <v>77</v>
      </c>
      <c r="C35" s="132"/>
      <c r="E35" s="34">
        <f t="shared" si="0"/>
        <v>77</v>
      </c>
      <c r="F35" s="18">
        <f t="shared" si="3"/>
        <v>7.9186482833705669E-3</v>
      </c>
      <c r="G35" s="122" t="str">
        <f t="shared" si="1"/>
        <v>Yes</v>
      </c>
      <c r="H35" s="122" t="str">
        <f t="shared" si="2"/>
        <v xml:space="preserve"> </v>
      </c>
    </row>
    <row r="36" spans="1:8" ht="15" x14ac:dyDescent="0.25">
      <c r="A36" s="101" t="s">
        <v>219</v>
      </c>
      <c r="B36" s="102">
        <v>24</v>
      </c>
      <c r="C36" s="132">
        <v>-1</v>
      </c>
      <c r="E36" s="34">
        <f t="shared" si="0"/>
        <v>23</v>
      </c>
      <c r="F36" s="18">
        <f t="shared" si="3"/>
        <v>2.3653105262015982E-3</v>
      </c>
      <c r="G36" s="122" t="str">
        <f t="shared" si="1"/>
        <v>Yes</v>
      </c>
      <c r="H36" s="122" t="str">
        <f t="shared" si="2"/>
        <v xml:space="preserve"> </v>
      </c>
    </row>
    <row r="37" spans="1:8" ht="15" x14ac:dyDescent="0.25">
      <c r="A37" s="101" t="s">
        <v>220</v>
      </c>
      <c r="B37" s="102">
        <v>15</v>
      </c>
      <c r="C37" s="132"/>
      <c r="E37" s="34">
        <f t="shared" si="0"/>
        <v>15</v>
      </c>
      <c r="F37" s="18">
        <f t="shared" si="3"/>
        <v>1.5425938214358248E-3</v>
      </c>
      <c r="G37" s="122" t="str">
        <f t="shared" si="1"/>
        <v>Yes</v>
      </c>
      <c r="H37" s="122" t="str">
        <f t="shared" si="2"/>
        <v>Excludes risk mgmt claim payouts (529700)</v>
      </c>
    </row>
    <row r="38" spans="1:8" ht="15" x14ac:dyDescent="0.25">
      <c r="A38" s="101" t="s">
        <v>221</v>
      </c>
      <c r="B38" s="102">
        <v>11</v>
      </c>
      <c r="C38" s="132"/>
      <c r="E38" s="34">
        <f t="shared" si="0"/>
        <v>11</v>
      </c>
      <c r="F38" s="18">
        <f t="shared" si="3"/>
        <v>1.1312354690529382E-3</v>
      </c>
      <c r="G38" s="122" t="str">
        <f t="shared" si="1"/>
        <v>Yes</v>
      </c>
      <c r="H38" s="122" t="str">
        <f t="shared" si="2"/>
        <v>Excludes risk mgmt claim payouts (529700)</v>
      </c>
    </row>
    <row r="39" spans="1:8" ht="15" x14ac:dyDescent="0.25">
      <c r="A39" s="101" t="s">
        <v>222</v>
      </c>
      <c r="B39" s="102">
        <v>240</v>
      </c>
      <c r="C39" s="132">
        <v>-13</v>
      </c>
      <c r="E39" s="34">
        <f t="shared" si="0"/>
        <v>227</v>
      </c>
      <c r="F39" s="18">
        <f t="shared" si="3"/>
        <v>2.3344586497728817E-2</v>
      </c>
      <c r="G39" s="122" t="str">
        <f t="shared" si="1"/>
        <v>Yes</v>
      </c>
      <c r="H39" s="122" t="str">
        <f t="shared" si="2"/>
        <v xml:space="preserve"> </v>
      </c>
    </row>
    <row r="40" spans="1:8" ht="15" x14ac:dyDescent="0.25">
      <c r="A40" s="101" t="s">
        <v>223</v>
      </c>
      <c r="B40" s="102">
        <v>17</v>
      </c>
      <c r="C40" s="132"/>
      <c r="E40" s="34">
        <f t="shared" si="0"/>
        <v>17</v>
      </c>
      <c r="F40" s="18">
        <f t="shared" si="3"/>
        <v>1.7482729976272681E-3</v>
      </c>
      <c r="G40" s="122" t="str">
        <f t="shared" si="1"/>
        <v>Yes</v>
      </c>
      <c r="H40" s="131"/>
    </row>
    <row r="41" spans="1:8" ht="15" x14ac:dyDescent="0.25">
      <c r="A41" s="136" t="s">
        <v>224</v>
      </c>
      <c r="B41" s="122">
        <v>17</v>
      </c>
      <c r="D41" s="122"/>
      <c r="E41" s="34">
        <f t="shared" si="0"/>
        <v>17</v>
      </c>
      <c r="F41" s="18">
        <f t="shared" si="3"/>
        <v>1.7482729976272681E-3</v>
      </c>
      <c r="G41" s="122" t="str">
        <f t="shared" si="1"/>
        <v>Yes</v>
      </c>
    </row>
    <row r="43" spans="1:8" x14ac:dyDescent="0.2">
      <c r="B43" s="122">
        <f>SUM(B2:B41)</f>
        <v>12447</v>
      </c>
      <c r="C43" s="122">
        <f>SUM(C2:C41)</f>
        <v>-2270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7"/>
  <sheetViews>
    <sheetView topLeftCell="A7" zoomScaleNormal="100" workbookViewId="0">
      <selection activeCell="G44" sqref="G44"/>
    </sheetView>
  </sheetViews>
  <sheetFormatPr defaultColWidth="8.7109375" defaultRowHeight="12.75" x14ac:dyDescent="0.2"/>
  <cols>
    <col min="1" max="1" width="45.28515625" style="32" bestFit="1" customWidth="1"/>
    <col min="2" max="2" width="15.7109375" style="32" bestFit="1" customWidth="1"/>
    <col min="3" max="3" width="11.7109375" style="32" bestFit="1" customWidth="1"/>
    <col min="4" max="4" width="14.28515625" style="32" bestFit="1" customWidth="1"/>
    <col min="5" max="6" width="14.28515625" style="32" customWidth="1"/>
    <col min="7" max="7" width="13.28515625" style="32" customWidth="1"/>
    <col min="8" max="9" width="14.28515625" style="32" bestFit="1" customWidth="1"/>
    <col min="10" max="10" width="13.5703125" style="32" bestFit="1" customWidth="1"/>
    <col min="11" max="11" width="9.5703125" style="32" bestFit="1" customWidth="1"/>
    <col min="12" max="12" width="10.42578125" style="32" bestFit="1" customWidth="1"/>
    <col min="13" max="13" width="8.7109375" style="32"/>
    <col min="14" max="14" width="9.5703125" style="32" bestFit="1" customWidth="1"/>
    <col min="15" max="15" width="8.7109375" style="32"/>
    <col min="16" max="17" width="11.42578125" style="32" bestFit="1" customWidth="1"/>
    <col min="18" max="16384" width="8.7109375" style="32"/>
  </cols>
  <sheetData>
    <row r="1" spans="1:18" ht="18" x14ac:dyDescent="0.25">
      <c r="A1" s="164" t="s">
        <v>473</v>
      </c>
      <c r="B1" s="164"/>
      <c r="C1" s="164"/>
      <c r="D1" s="164"/>
      <c r="E1" s="164"/>
      <c r="F1" s="164"/>
      <c r="G1" s="164"/>
      <c r="H1" s="164"/>
    </row>
    <row r="3" spans="1:18" s="66" customFormat="1" ht="38.25" x14ac:dyDescent="0.2">
      <c r="A3" s="75" t="s">
        <v>147</v>
      </c>
      <c r="B3" s="109" t="s">
        <v>492</v>
      </c>
      <c r="C3" s="109" t="s">
        <v>437</v>
      </c>
      <c r="D3" s="75" t="s">
        <v>454</v>
      </c>
      <c r="E3" s="75" t="s">
        <v>455</v>
      </c>
      <c r="F3" s="75" t="s">
        <v>456</v>
      </c>
      <c r="G3" s="75" t="s">
        <v>453</v>
      </c>
      <c r="H3" s="75" t="s">
        <v>418</v>
      </c>
    </row>
    <row r="4" spans="1:18" x14ac:dyDescent="0.2">
      <c r="A4" s="36" t="s">
        <v>345</v>
      </c>
      <c r="B4" s="110">
        <f>'Requested #s'!D5</f>
        <v>26655932</v>
      </c>
      <c r="C4" s="110">
        <f>'Requested #s'!E5</f>
        <v>-2544289</v>
      </c>
      <c r="D4" s="9">
        <f>SUM(B4:C4)</f>
        <v>24111643</v>
      </c>
      <c r="E4" s="34"/>
      <c r="F4" s="9"/>
      <c r="G4" s="34"/>
      <c r="H4" s="9">
        <f t="shared" ref="H4:H38" si="0">SUM(D4:G4)</f>
        <v>24111643</v>
      </c>
      <c r="I4" s="105"/>
      <c r="J4" s="9"/>
      <c r="K4" s="105"/>
      <c r="N4" s="9"/>
      <c r="P4" s="9"/>
      <c r="Q4" s="9"/>
      <c r="R4" s="9"/>
    </row>
    <row r="5" spans="1:18" x14ac:dyDescent="0.2">
      <c r="A5" s="36" t="s">
        <v>346</v>
      </c>
      <c r="B5" s="110">
        <f>'Requested #s'!D6</f>
        <v>6911963</v>
      </c>
      <c r="C5" s="110">
        <f>'Requested #s'!E6</f>
        <v>-704413</v>
      </c>
      <c r="D5" s="9">
        <f t="shared" ref="D5:D38" si="1">SUM(B5:C5)</f>
        <v>6207550</v>
      </c>
      <c r="E5" s="34"/>
      <c r="F5" s="9"/>
      <c r="G5" s="34"/>
      <c r="H5" s="9">
        <f>SUM(D5:G5)</f>
        <v>6207550</v>
      </c>
      <c r="I5" s="105"/>
      <c r="J5" s="9"/>
      <c r="K5" s="105"/>
      <c r="L5" s="9"/>
      <c r="M5" s="9"/>
      <c r="N5" s="9"/>
      <c r="P5" s="9"/>
      <c r="Q5" s="9"/>
      <c r="R5" s="9"/>
    </row>
    <row r="6" spans="1:18" x14ac:dyDescent="0.2">
      <c r="A6" s="36" t="s">
        <v>347</v>
      </c>
      <c r="B6" s="110">
        <f>'Requested #s'!D7</f>
        <v>964657</v>
      </c>
      <c r="C6" s="110">
        <f>'Requested #s'!E7</f>
        <v>-93885</v>
      </c>
      <c r="D6" s="9">
        <f t="shared" si="1"/>
        <v>870772</v>
      </c>
      <c r="E6" s="34"/>
      <c r="F6" s="9"/>
      <c r="G6" s="34"/>
      <c r="H6" s="9">
        <f t="shared" si="0"/>
        <v>870772</v>
      </c>
      <c r="I6" s="105"/>
      <c r="J6" s="9"/>
      <c r="K6" s="105"/>
      <c r="L6" s="9"/>
      <c r="M6" s="9"/>
      <c r="N6" s="9"/>
      <c r="O6" s="78"/>
      <c r="P6" s="9"/>
      <c r="Q6" s="9"/>
      <c r="R6" s="9"/>
    </row>
    <row r="7" spans="1:18" x14ac:dyDescent="0.2">
      <c r="A7" s="36" t="s">
        <v>348</v>
      </c>
      <c r="B7" s="110">
        <f>'Requested #s'!D8</f>
        <v>2388796</v>
      </c>
      <c r="C7" s="110">
        <f>'Requested #s'!E8</f>
        <v>-192477</v>
      </c>
      <c r="D7" s="9">
        <f t="shared" si="1"/>
        <v>2196319</v>
      </c>
      <c r="E7" s="34"/>
      <c r="F7" s="9"/>
      <c r="G7" s="34"/>
      <c r="H7" s="9">
        <f t="shared" si="0"/>
        <v>2196319</v>
      </c>
      <c r="I7" s="105"/>
      <c r="J7" s="9"/>
      <c r="K7" s="105"/>
      <c r="L7" s="9"/>
      <c r="M7" s="9"/>
      <c r="N7" s="9"/>
      <c r="O7" s="78"/>
      <c r="P7" s="9"/>
      <c r="Q7" s="9"/>
      <c r="R7" s="9"/>
    </row>
    <row r="8" spans="1:18" x14ac:dyDescent="0.2">
      <c r="A8" s="36" t="s">
        <v>349</v>
      </c>
      <c r="B8" s="110">
        <f>'Requested #s'!D9</f>
        <v>25000</v>
      </c>
      <c r="C8" s="110">
        <f>'Requested #s'!E9</f>
        <v>0</v>
      </c>
      <c r="D8" s="9">
        <f t="shared" si="1"/>
        <v>25000</v>
      </c>
      <c r="E8" s="34"/>
      <c r="F8" s="9"/>
      <c r="G8" s="34"/>
      <c r="H8" s="9">
        <f t="shared" si="0"/>
        <v>25000</v>
      </c>
      <c r="I8" s="105"/>
      <c r="J8" s="9"/>
      <c r="K8" s="105"/>
      <c r="L8" s="9"/>
      <c r="M8" s="9"/>
      <c r="N8" s="9"/>
      <c r="O8" s="78"/>
      <c r="P8" s="9"/>
      <c r="Q8" s="9"/>
      <c r="R8" s="9"/>
    </row>
    <row r="9" spans="1:18" x14ac:dyDescent="0.2">
      <c r="A9" s="36" t="s">
        <v>411</v>
      </c>
      <c r="B9" s="110">
        <f>'Requested #s'!D10</f>
        <v>25000</v>
      </c>
      <c r="C9" s="110">
        <f>'Requested #s'!E10</f>
        <v>0</v>
      </c>
      <c r="D9" s="9">
        <f t="shared" si="1"/>
        <v>25000</v>
      </c>
      <c r="E9" s="34"/>
      <c r="F9" s="9"/>
      <c r="G9" s="34"/>
      <c r="H9" s="9">
        <f t="shared" si="0"/>
        <v>25000</v>
      </c>
      <c r="I9" s="105"/>
      <c r="J9" s="9"/>
      <c r="K9" s="105"/>
      <c r="L9" s="9"/>
      <c r="M9" s="9"/>
      <c r="N9" s="9"/>
      <c r="O9" s="78"/>
      <c r="P9" s="9"/>
      <c r="Q9" s="9"/>
      <c r="R9" s="9"/>
    </row>
    <row r="10" spans="1:18" x14ac:dyDescent="0.2">
      <c r="A10" s="36" t="s">
        <v>350</v>
      </c>
      <c r="B10" s="110">
        <f>'Requested #s'!D11</f>
        <v>25000</v>
      </c>
      <c r="C10" s="110">
        <f>'Requested #s'!E11</f>
        <v>0</v>
      </c>
      <c r="D10" s="9">
        <f t="shared" si="1"/>
        <v>25000</v>
      </c>
      <c r="E10" s="34"/>
      <c r="F10" s="9"/>
      <c r="G10" s="34"/>
      <c r="H10" s="9">
        <f t="shared" si="0"/>
        <v>25000</v>
      </c>
      <c r="I10" s="105"/>
      <c r="J10" s="9"/>
      <c r="K10" s="105"/>
      <c r="L10" s="9"/>
      <c r="M10" s="9"/>
      <c r="N10" s="9"/>
      <c r="O10" s="78"/>
      <c r="P10" s="9"/>
      <c r="Q10" s="9"/>
      <c r="R10" s="9"/>
    </row>
    <row r="11" spans="1:18" x14ac:dyDescent="0.2">
      <c r="A11" s="36" t="s">
        <v>351</v>
      </c>
      <c r="B11" s="110">
        <f>'Requested #s'!D12</f>
        <v>104712</v>
      </c>
      <c r="C11" s="110">
        <f>'Requested #s'!E12</f>
        <v>-6623</v>
      </c>
      <c r="D11" s="9">
        <f t="shared" si="1"/>
        <v>98089</v>
      </c>
      <c r="E11" s="34"/>
      <c r="F11" s="9"/>
      <c r="G11" s="34"/>
      <c r="H11" s="9">
        <f t="shared" si="0"/>
        <v>98089</v>
      </c>
      <c r="I11" s="105"/>
      <c r="J11" s="9"/>
      <c r="K11" s="105"/>
      <c r="L11" s="9"/>
      <c r="M11" s="9"/>
      <c r="N11" s="9"/>
      <c r="P11" s="9"/>
      <c r="Q11" s="9"/>
      <c r="R11" s="9"/>
    </row>
    <row r="12" spans="1:18" x14ac:dyDescent="0.2">
      <c r="A12" s="36" t="s">
        <v>352</v>
      </c>
      <c r="B12" s="110">
        <f>'Requested #s'!D13</f>
        <v>0</v>
      </c>
      <c r="C12" s="110">
        <f>'Requested #s'!E13</f>
        <v>-1838</v>
      </c>
      <c r="D12" s="9">
        <f t="shared" si="1"/>
        <v>-1838</v>
      </c>
      <c r="E12" s="34"/>
      <c r="F12" s="9"/>
      <c r="G12" s="34"/>
      <c r="H12" s="9">
        <f t="shared" si="0"/>
        <v>-1838</v>
      </c>
      <c r="I12" s="105"/>
      <c r="J12" s="9"/>
      <c r="K12" s="105"/>
      <c r="L12" s="9"/>
      <c r="M12" s="9"/>
      <c r="N12" s="9"/>
      <c r="P12" s="9"/>
      <c r="Q12" s="9"/>
      <c r="R12" s="9"/>
    </row>
    <row r="13" spans="1:18" x14ac:dyDescent="0.2">
      <c r="A13" s="36" t="s">
        <v>353</v>
      </c>
      <c r="B13" s="110">
        <f>'Requested #s'!D14</f>
        <v>25000</v>
      </c>
      <c r="C13" s="110">
        <f>'Requested #s'!E14</f>
        <v>0</v>
      </c>
      <c r="D13" s="9">
        <f t="shared" si="1"/>
        <v>25000</v>
      </c>
      <c r="E13" s="34"/>
      <c r="F13" s="9"/>
      <c r="G13" s="34"/>
      <c r="H13" s="9">
        <f t="shared" si="0"/>
        <v>25000</v>
      </c>
      <c r="I13" s="105"/>
      <c r="J13" s="9"/>
      <c r="K13" s="105"/>
      <c r="L13" s="9"/>
      <c r="M13" s="9"/>
      <c r="N13" s="9"/>
      <c r="P13" s="9"/>
      <c r="Q13" s="9"/>
      <c r="R13" s="9"/>
    </row>
    <row r="14" spans="1:18" x14ac:dyDescent="0.2">
      <c r="A14" s="36" t="s">
        <v>354</v>
      </c>
      <c r="B14" s="110">
        <f>'Requested #s'!D15</f>
        <v>755493</v>
      </c>
      <c r="C14" s="110">
        <f>'Requested #s'!E15</f>
        <v>-37517</v>
      </c>
      <c r="D14" s="9">
        <f t="shared" si="1"/>
        <v>717976</v>
      </c>
      <c r="E14" s="34"/>
      <c r="F14" s="9"/>
      <c r="G14" s="34"/>
      <c r="H14" s="9">
        <f t="shared" si="0"/>
        <v>717976</v>
      </c>
      <c r="I14" s="105"/>
      <c r="J14" s="9"/>
      <c r="K14" s="105"/>
      <c r="L14" s="9"/>
      <c r="M14" s="9"/>
      <c r="N14" s="9"/>
      <c r="P14" s="9"/>
      <c r="Q14" s="9"/>
      <c r="R14" s="9"/>
    </row>
    <row r="15" spans="1:18" x14ac:dyDescent="0.2">
      <c r="A15" s="36" t="s">
        <v>412</v>
      </c>
      <c r="B15" s="110">
        <f>'Requested #s'!D16</f>
        <v>25000</v>
      </c>
      <c r="C15" s="110">
        <f>'Requested #s'!E16</f>
        <v>0</v>
      </c>
      <c r="D15" s="9">
        <f t="shared" si="1"/>
        <v>25000</v>
      </c>
      <c r="E15" s="34"/>
      <c r="F15" s="9"/>
      <c r="G15" s="34"/>
      <c r="H15" s="9">
        <f t="shared" si="0"/>
        <v>25000</v>
      </c>
      <c r="I15" s="105"/>
      <c r="J15" s="9"/>
      <c r="K15" s="105"/>
      <c r="L15" s="9"/>
      <c r="M15" s="9"/>
      <c r="N15" s="9"/>
      <c r="P15" s="9"/>
      <c r="Q15" s="9"/>
      <c r="R15" s="9"/>
    </row>
    <row r="16" spans="1:18" x14ac:dyDescent="0.2">
      <c r="A16" s="36" t="s">
        <v>436</v>
      </c>
      <c r="B16" s="110">
        <f>'Requested #s'!D17</f>
        <v>0</v>
      </c>
      <c r="C16" s="110">
        <f>'Requested #s'!E17</f>
        <v>-9</v>
      </c>
      <c r="D16" s="9">
        <f t="shared" si="1"/>
        <v>-9</v>
      </c>
      <c r="E16" s="34"/>
      <c r="F16" s="9"/>
      <c r="G16" s="34"/>
      <c r="H16" s="9">
        <f t="shared" si="0"/>
        <v>-9</v>
      </c>
      <c r="I16" s="105"/>
      <c r="J16" s="9"/>
      <c r="K16" s="105"/>
      <c r="L16" s="9"/>
      <c r="M16" s="9"/>
      <c r="N16" s="9"/>
      <c r="P16" s="9"/>
      <c r="Q16" s="9"/>
      <c r="R16" s="9"/>
    </row>
    <row r="17" spans="1:18" x14ac:dyDescent="0.2">
      <c r="A17" s="36" t="s">
        <v>355</v>
      </c>
      <c r="B17" s="110">
        <f>'Requested #s'!D18</f>
        <v>3191</v>
      </c>
      <c r="C17" s="110">
        <f>'Requested #s'!E18</f>
        <v>-1100</v>
      </c>
      <c r="D17" s="9">
        <f t="shared" si="1"/>
        <v>2091</v>
      </c>
      <c r="E17" s="34"/>
      <c r="F17" s="9"/>
      <c r="G17" s="34"/>
      <c r="H17" s="9">
        <f t="shared" si="0"/>
        <v>2091</v>
      </c>
      <c r="I17" s="105"/>
      <c r="J17" s="9"/>
      <c r="K17" s="105"/>
      <c r="L17" s="9"/>
      <c r="M17" s="9"/>
      <c r="N17" s="9"/>
      <c r="P17" s="9"/>
      <c r="Q17" s="9"/>
      <c r="R17" s="9"/>
    </row>
    <row r="18" spans="1:18" x14ac:dyDescent="0.2">
      <c r="A18" s="36" t="s">
        <v>356</v>
      </c>
      <c r="B18" s="110">
        <f>'Requested #s'!D19</f>
        <v>115</v>
      </c>
      <c r="C18" s="110">
        <f>'Requested #s'!E19</f>
        <v>-11</v>
      </c>
      <c r="D18" s="9">
        <f t="shared" si="1"/>
        <v>104</v>
      </c>
      <c r="E18" s="34"/>
      <c r="F18" s="9"/>
      <c r="G18" s="34"/>
      <c r="H18" s="9">
        <f t="shared" si="0"/>
        <v>104</v>
      </c>
      <c r="I18" s="105"/>
      <c r="J18" s="9"/>
      <c r="K18" s="105"/>
      <c r="L18" s="9"/>
      <c r="M18" s="9"/>
      <c r="N18" s="9"/>
      <c r="P18" s="9"/>
      <c r="Q18" s="9"/>
      <c r="R18" s="9"/>
    </row>
    <row r="19" spans="1:18" x14ac:dyDescent="0.2">
      <c r="A19" s="36" t="s">
        <v>357</v>
      </c>
      <c r="B19" s="110">
        <f>'Requested #s'!D20</f>
        <v>621260</v>
      </c>
      <c r="C19" s="110">
        <f>'Requested #s'!E20</f>
        <v>-38168</v>
      </c>
      <c r="D19" s="9">
        <f t="shared" si="1"/>
        <v>583092</v>
      </c>
      <c r="E19" s="34"/>
      <c r="F19" s="9"/>
      <c r="G19" s="34"/>
      <c r="H19" s="9">
        <f t="shared" si="0"/>
        <v>583092</v>
      </c>
      <c r="I19" s="105"/>
      <c r="J19" s="9"/>
      <c r="K19" s="105"/>
      <c r="L19" s="9"/>
      <c r="M19" s="9"/>
      <c r="N19" s="9"/>
      <c r="P19" s="9"/>
      <c r="Q19" s="9"/>
      <c r="R19" s="9"/>
    </row>
    <row r="20" spans="1:18" x14ac:dyDescent="0.2">
      <c r="A20" s="36" t="s">
        <v>359</v>
      </c>
      <c r="B20" s="110">
        <f>'Requested #s'!D21</f>
        <v>6244243</v>
      </c>
      <c r="C20" s="110">
        <f>'Requested #s'!E21</f>
        <v>-643621</v>
      </c>
      <c r="D20" s="9">
        <f t="shared" si="1"/>
        <v>5600622</v>
      </c>
      <c r="E20" s="34"/>
      <c r="F20" s="9"/>
      <c r="G20" s="34"/>
      <c r="H20" s="9">
        <f t="shared" si="0"/>
        <v>5600622</v>
      </c>
      <c r="I20" s="105"/>
      <c r="J20" s="9"/>
      <c r="K20" s="105"/>
      <c r="L20" s="9"/>
      <c r="M20" s="9"/>
      <c r="N20" s="9"/>
      <c r="P20" s="9"/>
      <c r="Q20" s="9"/>
      <c r="R20" s="9"/>
    </row>
    <row r="21" spans="1:18" x14ac:dyDescent="0.2">
      <c r="A21" s="36" t="s">
        <v>360</v>
      </c>
      <c r="B21" s="110">
        <f>'Requested #s'!D22</f>
        <v>51995</v>
      </c>
      <c r="C21" s="110">
        <f>'Requested #s'!E22</f>
        <v>-2765</v>
      </c>
      <c r="D21" s="9">
        <f t="shared" si="1"/>
        <v>49230</v>
      </c>
      <c r="E21" s="34"/>
      <c r="F21" s="9"/>
      <c r="G21" s="34"/>
      <c r="H21" s="9">
        <f t="shared" si="0"/>
        <v>49230</v>
      </c>
      <c r="I21" s="105"/>
      <c r="J21" s="9"/>
      <c r="K21" s="105"/>
      <c r="L21" s="9"/>
      <c r="M21" s="9"/>
      <c r="N21" s="9"/>
      <c r="P21" s="9"/>
      <c r="Q21" s="9"/>
      <c r="R21" s="9"/>
    </row>
    <row r="22" spans="1:18" x14ac:dyDescent="0.2">
      <c r="A22" s="36" t="s">
        <v>361</v>
      </c>
      <c r="B22" s="110">
        <f>'Requested #s'!D23</f>
        <v>4918895</v>
      </c>
      <c r="C22" s="110">
        <f>'Requested #s'!E23</f>
        <v>-538854</v>
      </c>
      <c r="D22" s="9">
        <f t="shared" si="1"/>
        <v>4380041</v>
      </c>
      <c r="E22" s="34"/>
      <c r="F22" s="9"/>
      <c r="G22" s="34"/>
      <c r="H22" s="9">
        <f t="shared" si="0"/>
        <v>4380041</v>
      </c>
      <c r="I22" s="105"/>
      <c r="J22" s="9"/>
      <c r="K22" s="105"/>
      <c r="L22" s="9"/>
      <c r="M22" s="9"/>
      <c r="N22" s="9"/>
      <c r="P22" s="9"/>
      <c r="Q22" s="9"/>
      <c r="R22" s="9"/>
    </row>
    <row r="23" spans="1:18" x14ac:dyDescent="0.2">
      <c r="A23" s="36" t="s">
        <v>362</v>
      </c>
      <c r="B23" s="110">
        <f>'Requested #s'!D24</f>
        <v>391762</v>
      </c>
      <c r="C23" s="110">
        <f>'Requested #s'!E24</f>
        <v>-42263</v>
      </c>
      <c r="D23" s="9">
        <f t="shared" si="1"/>
        <v>349499</v>
      </c>
      <c r="E23" s="34"/>
      <c r="F23" s="9"/>
      <c r="G23" s="34"/>
      <c r="H23" s="9">
        <f t="shared" si="0"/>
        <v>349499</v>
      </c>
      <c r="I23" s="105"/>
      <c r="J23" s="9"/>
      <c r="K23" s="105"/>
      <c r="L23" s="9"/>
      <c r="M23" s="9"/>
      <c r="N23" s="9"/>
      <c r="P23" s="9"/>
      <c r="Q23" s="9"/>
      <c r="R23" s="9"/>
    </row>
    <row r="24" spans="1:18" x14ac:dyDescent="0.2">
      <c r="A24" s="36" t="s">
        <v>363</v>
      </c>
      <c r="B24" s="110">
        <f>'Requested #s'!D25</f>
        <v>77642</v>
      </c>
      <c r="C24" s="110">
        <f>'Requested #s'!E25</f>
        <v>-6694</v>
      </c>
      <c r="D24" s="9">
        <f t="shared" si="1"/>
        <v>70948</v>
      </c>
      <c r="E24" s="34"/>
      <c r="F24" s="9"/>
      <c r="G24" s="34"/>
      <c r="H24" s="9">
        <f t="shared" si="0"/>
        <v>70948</v>
      </c>
      <c r="I24" s="105"/>
      <c r="J24" s="9"/>
      <c r="K24" s="105"/>
      <c r="L24" s="9"/>
      <c r="M24" s="9"/>
      <c r="N24" s="9"/>
      <c r="P24" s="9"/>
      <c r="Q24" s="9"/>
      <c r="R24" s="9"/>
    </row>
    <row r="25" spans="1:18" x14ac:dyDescent="0.2">
      <c r="A25" s="36" t="s">
        <v>364</v>
      </c>
      <c r="B25" s="110">
        <f>'Requested #s'!D26</f>
        <v>179134</v>
      </c>
      <c r="C25" s="110">
        <f>'Requested #s'!E26</f>
        <v>-19159</v>
      </c>
      <c r="D25" s="9">
        <f t="shared" si="1"/>
        <v>159975</v>
      </c>
      <c r="E25" s="34"/>
      <c r="F25" s="9"/>
      <c r="G25" s="34"/>
      <c r="H25" s="9">
        <f t="shared" si="0"/>
        <v>159975</v>
      </c>
      <c r="I25" s="105"/>
      <c r="J25" s="9"/>
      <c r="K25" s="105"/>
      <c r="L25" s="9"/>
      <c r="M25" s="9"/>
      <c r="N25" s="9"/>
      <c r="P25" s="9"/>
      <c r="Q25" s="9"/>
      <c r="R25" s="9"/>
    </row>
    <row r="26" spans="1:18" x14ac:dyDescent="0.2">
      <c r="A26" s="36" t="s">
        <v>365</v>
      </c>
      <c r="B26" s="110">
        <f>'Requested #s'!D27</f>
        <v>218134</v>
      </c>
      <c r="C26" s="110">
        <f>'Requested #s'!E27</f>
        <v>-18279</v>
      </c>
      <c r="D26" s="9">
        <f t="shared" si="1"/>
        <v>199855</v>
      </c>
      <c r="E26" s="34"/>
      <c r="F26" s="9"/>
      <c r="G26" s="34"/>
      <c r="H26" s="9">
        <f t="shared" si="0"/>
        <v>199855</v>
      </c>
      <c r="I26" s="105"/>
      <c r="J26" s="9"/>
      <c r="K26" s="105"/>
      <c r="L26" s="9"/>
      <c r="M26" s="9"/>
      <c r="N26" s="9"/>
      <c r="P26" s="9"/>
      <c r="Q26" s="9"/>
      <c r="R26" s="9"/>
    </row>
    <row r="27" spans="1:18" x14ac:dyDescent="0.2">
      <c r="A27" s="36" t="s">
        <v>366</v>
      </c>
      <c r="B27" s="110">
        <f>'Requested #s'!D28</f>
        <v>208630</v>
      </c>
      <c r="C27" s="110">
        <f>'Requested #s'!E28</f>
        <v>-12923</v>
      </c>
      <c r="D27" s="9">
        <f t="shared" si="1"/>
        <v>195707</v>
      </c>
      <c r="E27" s="34"/>
      <c r="F27" s="9"/>
      <c r="G27" s="34"/>
      <c r="H27" s="9">
        <f t="shared" si="0"/>
        <v>195707</v>
      </c>
      <c r="I27" s="105"/>
      <c r="J27" s="9"/>
      <c r="K27" s="105"/>
      <c r="L27" s="9"/>
      <c r="M27" s="9"/>
      <c r="N27" s="9"/>
      <c r="P27" s="9"/>
      <c r="Q27" s="9"/>
      <c r="R27" s="9"/>
    </row>
    <row r="28" spans="1:18" x14ac:dyDescent="0.2">
      <c r="A28" s="36" t="s">
        <v>367</v>
      </c>
      <c r="B28" s="110">
        <f>'Requested #s'!D29</f>
        <v>70139</v>
      </c>
      <c r="C28" s="110">
        <f>'Requested #s'!E29</f>
        <v>-12797</v>
      </c>
      <c r="D28" s="9">
        <f t="shared" si="1"/>
        <v>57342</v>
      </c>
      <c r="E28" s="34"/>
      <c r="F28" s="9"/>
      <c r="G28" s="34"/>
      <c r="H28" s="9">
        <f t="shared" si="0"/>
        <v>57342</v>
      </c>
      <c r="I28" s="105"/>
      <c r="J28" s="9"/>
      <c r="K28" s="105"/>
      <c r="L28" s="9"/>
      <c r="M28" s="9"/>
      <c r="N28" s="9"/>
      <c r="P28" s="9"/>
      <c r="Q28" s="9"/>
      <c r="R28" s="9"/>
    </row>
    <row r="29" spans="1:18" x14ac:dyDescent="0.2">
      <c r="A29" s="36" t="s">
        <v>368</v>
      </c>
      <c r="B29" s="110">
        <f>'Requested #s'!D30</f>
        <v>298799</v>
      </c>
      <c r="C29" s="110">
        <f>'Requested #s'!E30</f>
        <v>-31990</v>
      </c>
      <c r="D29" s="9">
        <f t="shared" si="1"/>
        <v>266809</v>
      </c>
      <c r="E29" s="34"/>
      <c r="F29" s="9"/>
      <c r="G29" s="34"/>
      <c r="H29" s="9">
        <f t="shared" si="0"/>
        <v>266809</v>
      </c>
      <c r="I29" s="105"/>
      <c r="J29" s="9"/>
      <c r="K29" s="105"/>
      <c r="L29" s="9"/>
      <c r="M29" s="9"/>
      <c r="N29" s="9"/>
      <c r="P29" s="9"/>
      <c r="Q29" s="9"/>
      <c r="R29" s="9"/>
    </row>
    <row r="30" spans="1:18" x14ac:dyDescent="0.2">
      <c r="A30" s="36" t="s">
        <v>369</v>
      </c>
      <c r="B30" s="110">
        <f>'Requested #s'!D31</f>
        <v>1306494</v>
      </c>
      <c r="C30" s="110">
        <f>'Requested #s'!E31</f>
        <v>-91958</v>
      </c>
      <c r="D30" s="9">
        <f t="shared" si="1"/>
        <v>1214536</v>
      </c>
      <c r="E30" s="34"/>
      <c r="F30" s="9"/>
      <c r="G30" s="34"/>
      <c r="H30" s="9">
        <f t="shared" si="0"/>
        <v>1214536</v>
      </c>
      <c r="I30" s="105"/>
      <c r="J30" s="9"/>
      <c r="K30" s="105"/>
      <c r="L30" s="9"/>
      <c r="M30" s="9"/>
      <c r="N30" s="9"/>
      <c r="P30" s="9"/>
      <c r="Q30" s="9"/>
      <c r="R30" s="9"/>
    </row>
    <row r="31" spans="1:18" x14ac:dyDescent="0.2">
      <c r="A31" s="36" t="s">
        <v>370</v>
      </c>
      <c r="B31" s="110">
        <f>'Requested #s'!D32</f>
        <v>1154087</v>
      </c>
      <c r="C31" s="110">
        <f>'Requested #s'!E32</f>
        <v>-114305</v>
      </c>
      <c r="D31" s="9">
        <f t="shared" si="1"/>
        <v>1039782</v>
      </c>
      <c r="E31" s="34"/>
      <c r="F31" s="9"/>
      <c r="G31" s="34"/>
      <c r="H31" s="9">
        <f t="shared" si="0"/>
        <v>1039782</v>
      </c>
      <c r="I31" s="105"/>
      <c r="J31" s="9"/>
      <c r="K31" s="105"/>
      <c r="L31" s="9"/>
      <c r="M31" s="9"/>
      <c r="N31" s="9"/>
      <c r="P31" s="9"/>
      <c r="Q31" s="9"/>
      <c r="R31" s="9"/>
    </row>
    <row r="32" spans="1:18" x14ac:dyDescent="0.2">
      <c r="A32" s="36" t="s">
        <v>371</v>
      </c>
      <c r="B32" s="110">
        <f>'Requested #s'!D33</f>
        <v>261568</v>
      </c>
      <c r="C32" s="110">
        <f>'Requested #s'!E33</f>
        <v>-26216</v>
      </c>
      <c r="D32" s="9">
        <f t="shared" si="1"/>
        <v>235352</v>
      </c>
      <c r="E32" s="34"/>
      <c r="F32" s="9"/>
      <c r="G32" s="34"/>
      <c r="H32" s="9">
        <f t="shared" si="0"/>
        <v>235352</v>
      </c>
      <c r="I32" s="105"/>
      <c r="J32" s="9"/>
      <c r="K32" s="105"/>
      <c r="L32" s="9"/>
      <c r="M32" s="9"/>
      <c r="N32" s="9"/>
      <c r="P32" s="9"/>
      <c r="Q32" s="9"/>
      <c r="R32" s="9"/>
    </row>
    <row r="33" spans="1:18" x14ac:dyDescent="0.2">
      <c r="A33" s="36" t="s">
        <v>372</v>
      </c>
      <c r="B33" s="110">
        <f>'Requested #s'!D34</f>
        <v>195217</v>
      </c>
      <c r="C33" s="110">
        <f>'Requested #s'!E34</f>
        <v>-18488</v>
      </c>
      <c r="D33" s="9">
        <f t="shared" si="1"/>
        <v>176729</v>
      </c>
      <c r="E33" s="34"/>
      <c r="F33" s="9"/>
      <c r="G33" s="34"/>
      <c r="H33" s="9">
        <f t="shared" si="0"/>
        <v>176729</v>
      </c>
      <c r="I33" s="105"/>
      <c r="J33" s="9"/>
      <c r="K33" s="105"/>
      <c r="L33" s="9"/>
      <c r="M33" s="9"/>
      <c r="N33" s="9"/>
      <c r="P33" s="9"/>
      <c r="Q33" s="9"/>
      <c r="R33" s="9"/>
    </row>
    <row r="34" spans="1:18" x14ac:dyDescent="0.2">
      <c r="A34" s="36" t="s">
        <v>373</v>
      </c>
      <c r="B34" s="110">
        <f>'Requested #s'!D35</f>
        <v>99175</v>
      </c>
      <c r="C34" s="110">
        <f>'Requested #s'!E35</f>
        <v>-9825</v>
      </c>
      <c r="D34" s="9">
        <f t="shared" si="1"/>
        <v>89350</v>
      </c>
      <c r="E34" s="34"/>
      <c r="F34" s="9"/>
      <c r="G34" s="34"/>
      <c r="H34" s="9">
        <f t="shared" si="0"/>
        <v>89350</v>
      </c>
      <c r="I34" s="105"/>
      <c r="J34" s="9"/>
      <c r="K34" s="105"/>
      <c r="L34" s="9"/>
      <c r="M34" s="9"/>
      <c r="N34" s="9"/>
      <c r="P34" s="9"/>
      <c r="Q34" s="9"/>
      <c r="R34" s="9"/>
    </row>
    <row r="35" spans="1:18" x14ac:dyDescent="0.2">
      <c r="A35" s="36" t="s">
        <v>374</v>
      </c>
      <c r="B35" s="110">
        <f>'Requested #s'!D36</f>
        <v>2181257</v>
      </c>
      <c r="C35" s="110">
        <f>'Requested #s'!E36</f>
        <v>-214479</v>
      </c>
      <c r="D35" s="9">
        <f t="shared" si="1"/>
        <v>1966778</v>
      </c>
      <c r="E35" s="34"/>
      <c r="F35" s="9"/>
      <c r="G35" s="34"/>
      <c r="H35" s="9">
        <f t="shared" si="0"/>
        <v>1966778</v>
      </c>
      <c r="I35" s="105"/>
      <c r="J35" s="9"/>
      <c r="K35" s="105"/>
      <c r="L35" s="9"/>
      <c r="M35" s="9"/>
      <c r="N35" s="9"/>
      <c r="P35" s="9"/>
      <c r="Q35" s="9"/>
      <c r="R35" s="9"/>
    </row>
    <row r="36" spans="1:18" x14ac:dyDescent="0.2">
      <c r="A36" s="36" t="s">
        <v>375</v>
      </c>
      <c r="B36" s="110">
        <f>'Requested #s'!D37</f>
        <v>177180</v>
      </c>
      <c r="C36" s="110">
        <f>'Requested #s'!E37</f>
        <v>-18683</v>
      </c>
      <c r="D36" s="9">
        <f t="shared" si="1"/>
        <v>158497</v>
      </c>
      <c r="E36" s="34"/>
      <c r="F36" s="9"/>
      <c r="G36" s="34"/>
      <c r="H36" s="9">
        <f t="shared" si="0"/>
        <v>158497</v>
      </c>
      <c r="I36" s="105"/>
      <c r="J36" s="9"/>
      <c r="K36" s="105"/>
      <c r="L36" s="9"/>
      <c r="M36" s="9"/>
      <c r="N36" s="9"/>
      <c r="P36" s="9"/>
      <c r="Q36" s="9"/>
      <c r="R36" s="9"/>
    </row>
    <row r="37" spans="1:18" x14ac:dyDescent="0.2">
      <c r="A37" s="36" t="s">
        <v>376</v>
      </c>
      <c r="B37" s="110">
        <f>'Requested #s'!D38</f>
        <v>151443</v>
      </c>
      <c r="C37" s="110">
        <f>'Requested #s'!E38</f>
        <v>-16806</v>
      </c>
      <c r="D37" s="9">
        <f t="shared" si="1"/>
        <v>134637</v>
      </c>
      <c r="E37" s="34"/>
      <c r="F37" s="9"/>
      <c r="G37" s="34"/>
      <c r="H37" s="9">
        <f t="shared" si="0"/>
        <v>134637</v>
      </c>
      <c r="I37" s="105"/>
      <c r="J37" s="9"/>
      <c r="K37" s="105"/>
      <c r="L37" s="9"/>
      <c r="M37" s="9"/>
      <c r="N37" s="9"/>
      <c r="P37" s="9"/>
      <c r="Q37" s="9"/>
      <c r="R37" s="9"/>
    </row>
    <row r="38" spans="1:18" x14ac:dyDescent="0.2">
      <c r="A38" s="36" t="s">
        <v>377</v>
      </c>
      <c r="B38" s="110">
        <f>'Requested #s'!D39</f>
        <v>255426</v>
      </c>
      <c r="C38" s="110">
        <f>'Requested #s'!E39</f>
        <v>-25469</v>
      </c>
      <c r="D38" s="9">
        <f t="shared" si="1"/>
        <v>229957</v>
      </c>
      <c r="E38" s="34"/>
      <c r="F38" s="9"/>
      <c r="G38" s="34"/>
      <c r="H38" s="9">
        <f t="shared" si="0"/>
        <v>229957</v>
      </c>
      <c r="I38" s="105"/>
      <c r="J38" s="9"/>
      <c r="K38" s="105"/>
      <c r="L38" s="9"/>
      <c r="M38" s="9"/>
      <c r="N38" s="9"/>
      <c r="P38" s="9"/>
      <c r="Q38" s="9"/>
      <c r="R38" s="9"/>
    </row>
    <row r="39" spans="1:18" x14ac:dyDescent="0.2">
      <c r="A39" s="67" t="s">
        <v>331</v>
      </c>
      <c r="B39" s="68">
        <f>SUM(B4:B38)</f>
        <v>56972339</v>
      </c>
      <c r="C39" s="68">
        <f>SUM(C4:C38)</f>
        <v>-5485904</v>
      </c>
      <c r="D39" s="68">
        <f>SUM(D4:D38)</f>
        <v>51486435</v>
      </c>
      <c r="E39" s="68">
        <f t="shared" ref="E39:F39" si="2">SUM(E4:E38)</f>
        <v>0</v>
      </c>
      <c r="F39" s="68">
        <f t="shared" si="2"/>
        <v>0</v>
      </c>
      <c r="G39" s="68">
        <f>SUM(G4:G38)</f>
        <v>0</v>
      </c>
      <c r="H39" s="68">
        <f>SUM(H4:H38)</f>
        <v>51486435</v>
      </c>
    </row>
    <row r="40" spans="1:18" x14ac:dyDescent="0.2">
      <c r="H40" s="9"/>
    </row>
    <row r="41" spans="1:18" x14ac:dyDescent="0.2">
      <c r="D41" s="92"/>
      <c r="E41" s="92"/>
      <c r="F41" s="92"/>
      <c r="G41" s="76"/>
    </row>
    <row r="45" spans="1:18" x14ac:dyDescent="0.2">
      <c r="G45" s="34"/>
    </row>
    <row r="46" spans="1:18" x14ac:dyDescent="0.2">
      <c r="G46" s="34"/>
    </row>
    <row r="47" spans="1:18" x14ac:dyDescent="0.2">
      <c r="G47" s="34"/>
    </row>
  </sheetData>
  <mergeCells count="1">
    <mergeCell ref="A1:H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6"/>
  <sheetViews>
    <sheetView topLeftCell="A5" workbookViewId="0">
      <selection activeCell="P33" sqref="P33"/>
    </sheetView>
  </sheetViews>
  <sheetFormatPr defaultRowHeight="12.75" outlineLevelCol="1" x14ac:dyDescent="0.2"/>
  <cols>
    <col min="1" max="1" width="45.28515625" bestFit="1" customWidth="1"/>
    <col min="2" max="2" width="11.5703125" bestFit="1" customWidth="1"/>
    <col min="3" max="3" width="12.7109375" bestFit="1" customWidth="1"/>
    <col min="4" max="4" width="11.5703125" bestFit="1" customWidth="1"/>
    <col min="5" max="5" width="11.7109375" bestFit="1" customWidth="1"/>
    <col min="6" max="6" width="12.28515625" customWidth="1"/>
    <col min="7" max="7" width="10.7109375" bestFit="1" customWidth="1"/>
    <col min="8" max="8" width="11.42578125" hidden="1" customWidth="1" outlineLevel="1"/>
    <col min="9" max="10" width="9.28515625" hidden="1" customWidth="1" outlineLevel="1"/>
    <col min="11" max="11" width="11.42578125" hidden="1" customWidth="1" outlineLevel="1"/>
    <col min="12" max="12" width="9.28515625" hidden="1" customWidth="1" outlineLevel="1"/>
    <col min="13" max="13" width="9.140625" collapsed="1"/>
  </cols>
  <sheetData>
    <row r="1" spans="1:16" ht="25.5" x14ac:dyDescent="0.35">
      <c r="A1" s="165" t="s">
        <v>550</v>
      </c>
      <c r="B1" s="165"/>
      <c r="C1" s="165"/>
      <c r="D1" s="165"/>
      <c r="E1" s="165"/>
      <c r="F1" s="165"/>
    </row>
    <row r="2" spans="1:16" x14ac:dyDescent="0.2">
      <c r="A2" s="32"/>
      <c r="B2" s="9"/>
      <c r="C2" s="9"/>
      <c r="D2" s="9"/>
      <c r="E2" s="32"/>
      <c r="F2" s="32"/>
    </row>
    <row r="3" spans="1:16" x14ac:dyDescent="0.2">
      <c r="A3" s="32"/>
      <c r="B3" s="9" t="s">
        <v>397</v>
      </c>
      <c r="C3" s="9"/>
      <c r="D3" s="9"/>
      <c r="E3" s="9"/>
      <c r="F3" s="9"/>
      <c r="G3" s="79"/>
      <c r="H3" s="79"/>
    </row>
    <row r="4" spans="1:16" ht="51" x14ac:dyDescent="0.2">
      <c r="A4" s="93" t="s">
        <v>147</v>
      </c>
      <c r="B4" s="94" t="s">
        <v>490</v>
      </c>
      <c r="C4" s="95" t="s">
        <v>546</v>
      </c>
      <c r="D4" s="95" t="s">
        <v>544</v>
      </c>
      <c r="E4" s="95" t="s">
        <v>547</v>
      </c>
      <c r="F4" s="95" t="s">
        <v>545</v>
      </c>
      <c r="G4" s="68" t="s">
        <v>451</v>
      </c>
      <c r="H4" s="9"/>
    </row>
    <row r="5" spans="1:16" x14ac:dyDescent="0.2">
      <c r="A5" s="32" t="s">
        <v>345</v>
      </c>
      <c r="B5" s="9">
        <v>26803509</v>
      </c>
      <c r="C5" s="9">
        <v>-147577</v>
      </c>
      <c r="D5" s="9">
        <v>26655932</v>
      </c>
      <c r="E5" s="9">
        <v>-2544289</v>
      </c>
      <c r="F5" s="9">
        <v>24111643</v>
      </c>
      <c r="G5" s="105">
        <f>C5/B5</f>
        <v>-5.505883576661548E-3</v>
      </c>
      <c r="H5" s="89"/>
      <c r="K5" s="9"/>
      <c r="L5" s="9"/>
      <c r="N5" s="78"/>
      <c r="P5" s="78"/>
    </row>
    <row r="6" spans="1:16" x14ac:dyDescent="0.2">
      <c r="A6" s="32" t="s">
        <v>346</v>
      </c>
      <c r="B6" s="9">
        <v>7277263</v>
      </c>
      <c r="C6" s="9">
        <v>-365300</v>
      </c>
      <c r="D6" s="9">
        <v>6911963</v>
      </c>
      <c r="E6" s="9">
        <v>-704413</v>
      </c>
      <c r="F6" s="9">
        <v>6207550</v>
      </c>
      <c r="G6" s="105">
        <f t="shared" ref="G6:G39" si="0">C6/B6</f>
        <v>-5.0197443736745534E-2</v>
      </c>
      <c r="H6" s="12"/>
      <c r="K6" s="9"/>
      <c r="L6" s="9"/>
      <c r="M6" s="9"/>
      <c r="N6" s="78"/>
      <c r="P6" s="78"/>
    </row>
    <row r="7" spans="1:16" x14ac:dyDescent="0.2">
      <c r="A7" s="32" t="s">
        <v>347</v>
      </c>
      <c r="B7" s="9">
        <v>993764</v>
      </c>
      <c r="C7" s="9">
        <v>-29107</v>
      </c>
      <c r="D7" s="9">
        <v>964657</v>
      </c>
      <c r="E7" s="9">
        <v>-93885</v>
      </c>
      <c r="F7" s="9">
        <v>870772</v>
      </c>
      <c r="G7" s="105">
        <f t="shared" si="0"/>
        <v>-2.9289650259015219E-2</v>
      </c>
      <c r="H7" s="12"/>
      <c r="K7" s="9"/>
      <c r="L7" s="9"/>
      <c r="M7" s="9"/>
      <c r="N7" s="78"/>
      <c r="P7" s="78"/>
    </row>
    <row r="8" spans="1:16" x14ac:dyDescent="0.2">
      <c r="A8" s="32" t="s">
        <v>348</v>
      </c>
      <c r="B8" s="9">
        <v>2241344</v>
      </c>
      <c r="C8" s="9">
        <v>147452</v>
      </c>
      <c r="D8" s="9">
        <v>2388796</v>
      </c>
      <c r="E8" s="9">
        <v>-192477</v>
      </c>
      <c r="F8" s="9">
        <v>2196319</v>
      </c>
      <c r="G8" s="105">
        <f t="shared" si="0"/>
        <v>6.578731332628994E-2</v>
      </c>
      <c r="H8" s="12" t="s">
        <v>463</v>
      </c>
      <c r="K8" s="9"/>
      <c r="L8" s="9"/>
      <c r="M8" s="9"/>
      <c r="N8" s="78"/>
      <c r="P8" s="78"/>
    </row>
    <row r="9" spans="1:16" x14ac:dyDescent="0.2">
      <c r="A9" s="32" t="s">
        <v>349</v>
      </c>
      <c r="B9" s="9">
        <v>25000</v>
      </c>
      <c r="C9" s="9">
        <v>0</v>
      </c>
      <c r="D9" s="9">
        <v>25000</v>
      </c>
      <c r="E9" s="9">
        <v>0</v>
      </c>
      <c r="F9" s="9">
        <v>25000</v>
      </c>
      <c r="G9" s="105">
        <f t="shared" si="0"/>
        <v>0</v>
      </c>
      <c r="H9" s="89"/>
      <c r="K9" s="9"/>
      <c r="L9" s="9"/>
      <c r="M9" s="9"/>
      <c r="N9" s="78"/>
      <c r="P9" s="78"/>
    </row>
    <row r="10" spans="1:16" x14ac:dyDescent="0.2">
      <c r="A10" s="32" t="s">
        <v>411</v>
      </c>
      <c r="B10" s="9">
        <v>25000</v>
      </c>
      <c r="C10" s="9">
        <v>0</v>
      </c>
      <c r="D10" s="9">
        <v>25000</v>
      </c>
      <c r="E10" s="9">
        <v>0</v>
      </c>
      <c r="F10" s="9">
        <v>25000</v>
      </c>
      <c r="G10" s="105">
        <f t="shared" si="0"/>
        <v>0</v>
      </c>
      <c r="H10" s="12"/>
      <c r="K10" s="9"/>
      <c r="L10" s="9"/>
      <c r="M10" s="9"/>
      <c r="N10" s="78"/>
      <c r="P10" s="78"/>
    </row>
    <row r="11" spans="1:16" x14ac:dyDescent="0.2">
      <c r="A11" s="32" t="s">
        <v>350</v>
      </c>
      <c r="B11" s="9">
        <v>25000</v>
      </c>
      <c r="C11" s="9">
        <v>0</v>
      </c>
      <c r="D11" s="9">
        <v>25000</v>
      </c>
      <c r="E11" s="9">
        <v>0</v>
      </c>
      <c r="F11" s="9">
        <v>25000</v>
      </c>
      <c r="G11" s="105">
        <f t="shared" si="0"/>
        <v>0</v>
      </c>
      <c r="H11" s="12"/>
      <c r="K11" s="9"/>
      <c r="L11" s="9"/>
      <c r="M11" s="9"/>
      <c r="N11" s="78"/>
      <c r="P11" s="78"/>
    </row>
    <row r="12" spans="1:16" x14ac:dyDescent="0.2">
      <c r="A12" s="32" t="s">
        <v>351</v>
      </c>
      <c r="B12" s="9">
        <v>82079</v>
      </c>
      <c r="C12" s="9">
        <v>22633</v>
      </c>
      <c r="D12" s="9">
        <v>104712</v>
      </c>
      <c r="E12" s="9">
        <v>-6623</v>
      </c>
      <c r="F12" s="9">
        <v>98089</v>
      </c>
      <c r="G12" s="105">
        <f t="shared" si="0"/>
        <v>0.27574653687301259</v>
      </c>
      <c r="H12" s="12" t="s">
        <v>464</v>
      </c>
      <c r="K12" s="9"/>
      <c r="L12" s="9"/>
      <c r="M12" s="9"/>
      <c r="N12" s="78"/>
      <c r="P12" s="78"/>
    </row>
    <row r="13" spans="1:16" x14ac:dyDescent="0.2">
      <c r="A13" s="32" t="s">
        <v>352</v>
      </c>
      <c r="B13" s="9">
        <v>7107</v>
      </c>
      <c r="C13" s="9">
        <v>-7107</v>
      </c>
      <c r="D13" s="9">
        <v>0</v>
      </c>
      <c r="E13" s="9">
        <v>-1838</v>
      </c>
      <c r="F13" s="9">
        <v>-1838</v>
      </c>
      <c r="G13" s="105">
        <f t="shared" si="0"/>
        <v>-1</v>
      </c>
      <c r="H13" s="12" t="s">
        <v>465</v>
      </c>
      <c r="K13" s="9"/>
      <c r="L13" s="9"/>
      <c r="M13" s="9"/>
      <c r="N13" s="78"/>
      <c r="P13" s="78"/>
    </row>
    <row r="14" spans="1:16" x14ac:dyDescent="0.2">
      <c r="A14" s="32" t="s">
        <v>353</v>
      </c>
      <c r="B14" s="9">
        <v>25000</v>
      </c>
      <c r="C14" s="9">
        <v>0</v>
      </c>
      <c r="D14" s="9">
        <v>25000</v>
      </c>
      <c r="E14" s="9">
        <v>0</v>
      </c>
      <c r="F14" s="9">
        <v>25000</v>
      </c>
      <c r="G14" s="105">
        <f t="shared" si="0"/>
        <v>0</v>
      </c>
      <c r="H14" s="12"/>
      <c r="K14" s="9"/>
      <c r="L14" s="9"/>
      <c r="M14" s="9"/>
      <c r="N14" s="78"/>
      <c r="P14" s="78"/>
    </row>
    <row r="15" spans="1:16" x14ac:dyDescent="0.2">
      <c r="A15" s="32" t="s">
        <v>354</v>
      </c>
      <c r="B15" s="9">
        <v>661441</v>
      </c>
      <c r="C15" s="9">
        <v>94052</v>
      </c>
      <c r="D15" s="9">
        <v>755493</v>
      </c>
      <c r="E15" s="9">
        <v>-37517</v>
      </c>
      <c r="F15" s="9">
        <v>717976</v>
      </c>
      <c r="G15" s="105">
        <f t="shared" si="0"/>
        <v>0.14219257651098133</v>
      </c>
      <c r="H15" s="12" t="s">
        <v>466</v>
      </c>
      <c r="K15" s="9"/>
      <c r="L15" s="9"/>
      <c r="M15" s="9"/>
      <c r="N15" s="78"/>
      <c r="P15" s="78"/>
    </row>
    <row r="16" spans="1:16" s="32" customFormat="1" x14ac:dyDescent="0.2">
      <c r="A16" s="57" t="s">
        <v>412</v>
      </c>
      <c r="B16" s="9">
        <v>25000</v>
      </c>
      <c r="C16" s="9">
        <v>0</v>
      </c>
      <c r="D16" s="9">
        <v>25000</v>
      </c>
      <c r="E16" s="9">
        <v>0</v>
      </c>
      <c r="F16" s="9">
        <v>25000</v>
      </c>
      <c r="G16" s="105">
        <f t="shared" si="0"/>
        <v>0</v>
      </c>
      <c r="H16" s="12"/>
      <c r="K16" s="9"/>
      <c r="L16" s="9"/>
      <c r="M16" s="9"/>
      <c r="N16" s="78"/>
      <c r="P16" s="78"/>
    </row>
    <row r="17" spans="1:16" x14ac:dyDescent="0.2">
      <c r="A17" s="32" t="s">
        <v>436</v>
      </c>
      <c r="B17" s="9">
        <v>78</v>
      </c>
      <c r="C17" s="9">
        <v>-78</v>
      </c>
      <c r="D17" s="9">
        <v>0</v>
      </c>
      <c r="E17" s="9">
        <v>-9</v>
      </c>
      <c r="F17" s="9">
        <v>-9</v>
      </c>
      <c r="G17" s="105">
        <f t="shared" si="0"/>
        <v>-1</v>
      </c>
      <c r="H17" s="12"/>
      <c r="K17" s="9"/>
      <c r="L17" s="9"/>
      <c r="M17" s="9"/>
      <c r="N17" s="78"/>
      <c r="P17" s="78"/>
    </row>
    <row r="18" spans="1:16" x14ac:dyDescent="0.2">
      <c r="A18" s="32" t="s">
        <v>355</v>
      </c>
      <c r="B18" s="9">
        <v>11494</v>
      </c>
      <c r="C18" s="9">
        <v>-8303</v>
      </c>
      <c r="D18" s="9">
        <v>3191</v>
      </c>
      <c r="E18" s="9">
        <v>-1100</v>
      </c>
      <c r="F18" s="9">
        <v>2091</v>
      </c>
      <c r="G18" s="105">
        <f t="shared" si="0"/>
        <v>-0.72237689229163038</v>
      </c>
      <c r="H18" s="12" t="s">
        <v>467</v>
      </c>
      <c r="K18" s="9"/>
      <c r="L18" s="9"/>
      <c r="M18" s="9"/>
      <c r="N18" s="78"/>
      <c r="P18" s="78"/>
    </row>
    <row r="19" spans="1:16" x14ac:dyDescent="0.2">
      <c r="A19" s="32" t="s">
        <v>356</v>
      </c>
      <c r="B19" s="9">
        <v>141</v>
      </c>
      <c r="C19" s="9">
        <v>-26</v>
      </c>
      <c r="D19" s="9">
        <v>115</v>
      </c>
      <c r="E19" s="9">
        <v>-11</v>
      </c>
      <c r="F19" s="9">
        <v>104</v>
      </c>
      <c r="G19" s="105">
        <f t="shared" si="0"/>
        <v>-0.18439716312056736</v>
      </c>
      <c r="H19" s="12" t="s">
        <v>468</v>
      </c>
      <c r="K19" s="9"/>
      <c r="L19" s="9"/>
      <c r="M19" s="9"/>
      <c r="N19" s="78"/>
      <c r="P19" s="78"/>
    </row>
    <row r="20" spans="1:16" x14ac:dyDescent="0.2">
      <c r="A20" s="32" t="s">
        <v>357</v>
      </c>
      <c r="B20" s="9">
        <v>527294</v>
      </c>
      <c r="C20" s="9">
        <v>93966</v>
      </c>
      <c r="D20" s="9">
        <v>621260</v>
      </c>
      <c r="E20" s="9">
        <v>-38168</v>
      </c>
      <c r="F20" s="9">
        <v>583092</v>
      </c>
      <c r="G20" s="105">
        <f t="shared" si="0"/>
        <v>0.17820418969303653</v>
      </c>
      <c r="H20" s="12"/>
      <c r="K20" s="9"/>
      <c r="L20" s="9"/>
      <c r="M20" s="9"/>
      <c r="N20" s="78"/>
      <c r="P20" s="78"/>
    </row>
    <row r="21" spans="1:16" x14ac:dyDescent="0.2">
      <c r="A21" s="32" t="s">
        <v>359</v>
      </c>
      <c r="B21" s="9">
        <v>6603811</v>
      </c>
      <c r="C21" s="9">
        <v>-359568</v>
      </c>
      <c r="D21" s="9">
        <v>6244243</v>
      </c>
      <c r="E21" s="9">
        <v>-643621</v>
      </c>
      <c r="F21" s="9">
        <v>5600622</v>
      </c>
      <c r="G21" s="105">
        <f t="shared" si="0"/>
        <v>-5.4448560081443879E-2</v>
      </c>
      <c r="H21" s="12"/>
      <c r="K21" s="9"/>
      <c r="L21" s="9"/>
      <c r="M21" s="9"/>
      <c r="N21" s="78"/>
      <c r="P21" s="78"/>
    </row>
    <row r="22" spans="1:16" x14ac:dyDescent="0.2">
      <c r="A22" s="32" t="s">
        <v>360</v>
      </c>
      <c r="B22" s="9">
        <v>31947</v>
      </c>
      <c r="C22" s="9">
        <v>20048</v>
      </c>
      <c r="D22" s="9">
        <v>51995</v>
      </c>
      <c r="E22" s="9">
        <v>-2765</v>
      </c>
      <c r="F22" s="9">
        <v>49230</v>
      </c>
      <c r="G22" s="105">
        <f t="shared" si="0"/>
        <v>0.62753936206842587</v>
      </c>
      <c r="H22" s="12" t="s">
        <v>548</v>
      </c>
      <c r="K22" s="9"/>
      <c r="L22" s="9"/>
      <c r="M22" s="9"/>
      <c r="N22" s="78"/>
      <c r="P22" s="78"/>
    </row>
    <row r="23" spans="1:16" x14ac:dyDescent="0.2">
      <c r="A23" s="32" t="s">
        <v>361</v>
      </c>
      <c r="B23" s="9">
        <v>5240634</v>
      </c>
      <c r="C23" s="9">
        <v>-321739</v>
      </c>
      <c r="D23" s="9">
        <v>4918895</v>
      </c>
      <c r="E23" s="9">
        <v>-538854</v>
      </c>
      <c r="F23" s="9">
        <v>4380041</v>
      </c>
      <c r="G23" s="105">
        <f t="shared" si="0"/>
        <v>-6.1393144417259439E-2</v>
      </c>
      <c r="H23" s="12"/>
      <c r="K23" s="9"/>
      <c r="L23" s="9"/>
      <c r="M23" s="9"/>
      <c r="N23" s="78"/>
      <c r="P23" s="78"/>
    </row>
    <row r="24" spans="1:16" x14ac:dyDescent="0.2">
      <c r="A24" s="32" t="s">
        <v>362</v>
      </c>
      <c r="B24" s="9">
        <v>431521</v>
      </c>
      <c r="C24" s="9">
        <v>-39759</v>
      </c>
      <c r="D24" s="9">
        <v>391762</v>
      </c>
      <c r="E24" s="9">
        <v>-42263</v>
      </c>
      <c r="F24" s="9">
        <v>349499</v>
      </c>
      <c r="G24" s="105">
        <f t="shared" si="0"/>
        <v>-9.2136883257130014E-2</v>
      </c>
      <c r="H24" s="12"/>
      <c r="K24" s="9"/>
      <c r="L24" s="9"/>
      <c r="M24" s="9"/>
      <c r="N24" s="78"/>
      <c r="P24" s="78"/>
    </row>
    <row r="25" spans="1:16" x14ac:dyDescent="0.2">
      <c r="A25" s="32" t="s">
        <v>363</v>
      </c>
      <c r="B25" s="9">
        <v>73394</v>
      </c>
      <c r="C25" s="9">
        <v>4248</v>
      </c>
      <c r="D25" s="9">
        <v>77642</v>
      </c>
      <c r="E25" s="9">
        <v>-6694</v>
      </c>
      <c r="F25" s="9">
        <v>70948</v>
      </c>
      <c r="G25" s="105">
        <f t="shared" si="0"/>
        <v>5.7879390685887128E-2</v>
      </c>
      <c r="H25" s="12" t="s">
        <v>469</v>
      </c>
      <c r="K25" s="9"/>
      <c r="L25" s="9"/>
      <c r="M25" s="9"/>
      <c r="N25" s="78"/>
      <c r="P25" s="78"/>
    </row>
    <row r="26" spans="1:16" x14ac:dyDescent="0.2">
      <c r="A26" s="32" t="s">
        <v>364</v>
      </c>
      <c r="B26" s="9">
        <v>193635</v>
      </c>
      <c r="C26" s="9">
        <v>-14501</v>
      </c>
      <c r="D26" s="9">
        <v>179134</v>
      </c>
      <c r="E26" s="9">
        <v>-19159</v>
      </c>
      <c r="F26" s="9">
        <v>159975</v>
      </c>
      <c r="G26" s="105">
        <f t="shared" si="0"/>
        <v>-7.4888320809770967E-2</v>
      </c>
      <c r="H26" s="12"/>
      <c r="K26" s="9"/>
      <c r="L26" s="9"/>
      <c r="M26" s="9"/>
      <c r="N26" s="78"/>
      <c r="P26" s="78"/>
    </row>
    <row r="27" spans="1:16" x14ac:dyDescent="0.2">
      <c r="A27" s="32" t="s">
        <v>365</v>
      </c>
      <c r="B27" s="9">
        <v>206477</v>
      </c>
      <c r="C27" s="9">
        <v>11657</v>
      </c>
      <c r="D27" s="9">
        <v>218134</v>
      </c>
      <c r="E27" s="9">
        <v>-18279</v>
      </c>
      <c r="F27" s="9">
        <v>199855</v>
      </c>
      <c r="G27" s="105">
        <f t="shared" si="0"/>
        <v>5.6456651346154775E-2</v>
      </c>
      <c r="H27" s="12" t="s">
        <v>470</v>
      </c>
      <c r="K27" s="9"/>
      <c r="L27" s="9"/>
      <c r="M27" s="9"/>
      <c r="N27" s="78"/>
      <c r="P27" s="78"/>
    </row>
    <row r="28" spans="1:16" x14ac:dyDescent="0.2">
      <c r="A28" s="32" t="s">
        <v>366</v>
      </c>
      <c r="B28" s="9">
        <v>188875</v>
      </c>
      <c r="C28" s="9">
        <v>19755</v>
      </c>
      <c r="D28" s="9">
        <v>208630</v>
      </c>
      <c r="E28" s="9">
        <v>-12923</v>
      </c>
      <c r="F28" s="9">
        <v>195707</v>
      </c>
      <c r="G28" s="105">
        <f t="shared" si="0"/>
        <v>0.10459298477829253</v>
      </c>
      <c r="H28" s="12"/>
      <c r="K28" s="9"/>
      <c r="L28" s="9"/>
      <c r="M28" s="9"/>
      <c r="N28" s="78"/>
      <c r="P28" s="78"/>
    </row>
    <row r="29" spans="1:16" x14ac:dyDescent="0.2">
      <c r="A29" s="32" t="s">
        <v>367</v>
      </c>
      <c r="B29" s="9">
        <v>102915</v>
      </c>
      <c r="C29" s="9">
        <v>-32776</v>
      </c>
      <c r="D29" s="9">
        <v>70139</v>
      </c>
      <c r="E29" s="9">
        <v>-12797</v>
      </c>
      <c r="F29" s="9">
        <v>57342</v>
      </c>
      <c r="G29" s="105">
        <f t="shared" si="0"/>
        <v>-0.31847641257348297</v>
      </c>
      <c r="H29" s="12" t="s">
        <v>494</v>
      </c>
      <c r="K29" s="9"/>
      <c r="L29" s="9"/>
      <c r="M29" s="9"/>
      <c r="N29" s="78"/>
      <c r="P29" s="78"/>
    </row>
    <row r="30" spans="1:16" x14ac:dyDescent="0.2">
      <c r="A30" s="32" t="s">
        <v>368</v>
      </c>
      <c r="B30" s="9">
        <v>316211</v>
      </c>
      <c r="C30" s="9">
        <v>-17412</v>
      </c>
      <c r="D30" s="9">
        <v>298799</v>
      </c>
      <c r="E30" s="9">
        <v>-31990</v>
      </c>
      <c r="F30" s="9">
        <v>266809</v>
      </c>
      <c r="G30" s="105">
        <f t="shared" si="0"/>
        <v>-5.5064498072489573E-2</v>
      </c>
      <c r="H30" s="12"/>
      <c r="K30" s="9"/>
      <c r="L30" s="9"/>
      <c r="M30" s="9"/>
      <c r="N30" s="78"/>
      <c r="P30" s="78"/>
    </row>
    <row r="31" spans="1:16" x14ac:dyDescent="0.2">
      <c r="A31" s="32" t="s">
        <v>369</v>
      </c>
      <c r="B31" s="9">
        <v>1035829</v>
      </c>
      <c r="C31" s="9">
        <v>270665</v>
      </c>
      <c r="D31" s="9">
        <v>1306494</v>
      </c>
      <c r="E31" s="9">
        <v>-91958</v>
      </c>
      <c r="F31" s="9">
        <v>1214536</v>
      </c>
      <c r="G31" s="105">
        <f t="shared" si="0"/>
        <v>0.26130278260214768</v>
      </c>
      <c r="H31" s="12"/>
      <c r="K31" s="9"/>
      <c r="L31" s="9"/>
      <c r="M31" s="9"/>
      <c r="N31" s="78"/>
      <c r="P31" s="78"/>
    </row>
    <row r="32" spans="1:16" x14ac:dyDescent="0.2">
      <c r="A32" s="32" t="s">
        <v>370</v>
      </c>
      <c r="B32" s="9">
        <v>1204181</v>
      </c>
      <c r="C32" s="9">
        <v>-50094</v>
      </c>
      <c r="D32" s="9">
        <v>1154087</v>
      </c>
      <c r="E32" s="9">
        <v>-114305</v>
      </c>
      <c r="F32" s="9">
        <v>1039782</v>
      </c>
      <c r="G32" s="105">
        <f t="shared" si="0"/>
        <v>-4.1600058462971927E-2</v>
      </c>
      <c r="H32" s="12"/>
      <c r="K32" s="9"/>
      <c r="L32" s="9"/>
      <c r="M32" s="9"/>
      <c r="N32" s="78"/>
      <c r="P32" s="78"/>
    </row>
    <row r="33" spans="1:20" x14ac:dyDescent="0.2">
      <c r="A33" s="32" t="s">
        <v>371</v>
      </c>
      <c r="B33" s="9">
        <v>275292</v>
      </c>
      <c r="C33" s="9">
        <v>-13724</v>
      </c>
      <c r="D33" s="9">
        <v>261568</v>
      </c>
      <c r="E33" s="9">
        <v>-26216</v>
      </c>
      <c r="F33" s="9">
        <v>235352</v>
      </c>
      <c r="G33" s="105">
        <f t="shared" si="0"/>
        <v>-4.9852520233061623E-2</v>
      </c>
      <c r="H33" s="12"/>
      <c r="K33" s="9"/>
      <c r="L33" s="9"/>
      <c r="M33" s="9"/>
      <c r="N33" s="78"/>
      <c r="P33" s="78"/>
    </row>
    <row r="34" spans="1:20" x14ac:dyDescent="0.2">
      <c r="A34" s="32" t="s">
        <v>372</v>
      </c>
      <c r="B34" s="9">
        <v>199259</v>
      </c>
      <c r="C34" s="9">
        <v>-4042</v>
      </c>
      <c r="D34" s="9">
        <v>195217</v>
      </c>
      <c r="E34" s="9">
        <v>-18488</v>
      </c>
      <c r="F34" s="9">
        <v>176729</v>
      </c>
      <c r="G34" s="105">
        <f t="shared" si="0"/>
        <v>-2.0285156504850473E-2</v>
      </c>
      <c r="H34" s="12"/>
      <c r="K34" s="9"/>
      <c r="L34" s="9"/>
      <c r="M34" s="9"/>
      <c r="N34" s="78"/>
      <c r="P34" s="78"/>
    </row>
    <row r="35" spans="1:20" x14ac:dyDescent="0.2">
      <c r="A35" s="32" t="s">
        <v>373</v>
      </c>
      <c r="B35" s="9">
        <v>102337</v>
      </c>
      <c r="C35" s="9">
        <v>-3162</v>
      </c>
      <c r="D35" s="9">
        <v>99175</v>
      </c>
      <c r="E35" s="9">
        <v>-9825</v>
      </c>
      <c r="F35" s="9">
        <v>89350</v>
      </c>
      <c r="G35" s="105">
        <f t="shared" si="0"/>
        <v>-3.0897915709860557E-2</v>
      </c>
      <c r="H35" s="12" t="s">
        <v>471</v>
      </c>
      <c r="K35" s="9"/>
      <c r="L35" s="9"/>
      <c r="M35" s="9"/>
      <c r="N35" s="78"/>
      <c r="P35" s="78"/>
    </row>
    <row r="36" spans="1:20" x14ac:dyDescent="0.2">
      <c r="A36" s="32" t="s">
        <v>374</v>
      </c>
      <c r="B36" s="9">
        <v>2275250</v>
      </c>
      <c r="C36" s="9">
        <v>-93993</v>
      </c>
      <c r="D36" s="9">
        <v>2181257</v>
      </c>
      <c r="E36" s="9">
        <v>-214479</v>
      </c>
      <c r="F36" s="9">
        <v>1966778</v>
      </c>
      <c r="G36" s="105">
        <f t="shared" si="0"/>
        <v>-4.1311064718162836E-2</v>
      </c>
      <c r="H36" s="12"/>
      <c r="K36" s="9"/>
      <c r="L36" s="9"/>
      <c r="M36" s="9"/>
      <c r="N36" s="78"/>
      <c r="P36" s="78"/>
    </row>
    <row r="37" spans="1:20" x14ac:dyDescent="0.2">
      <c r="A37" s="32" t="s">
        <v>375</v>
      </c>
      <c r="B37" s="9">
        <v>184701</v>
      </c>
      <c r="C37" s="9">
        <v>-7521</v>
      </c>
      <c r="D37" s="9">
        <v>177180</v>
      </c>
      <c r="E37" s="9">
        <v>-18683</v>
      </c>
      <c r="F37" s="9">
        <v>158497</v>
      </c>
      <c r="G37" s="105">
        <f t="shared" si="0"/>
        <v>-4.0719866162067339E-2</v>
      </c>
      <c r="H37" s="12"/>
      <c r="K37" s="9"/>
      <c r="L37" s="9"/>
      <c r="M37" s="9"/>
      <c r="N37" s="78"/>
      <c r="P37" s="78"/>
    </row>
    <row r="38" spans="1:20" x14ac:dyDescent="0.2">
      <c r="A38" s="32" t="s">
        <v>376</v>
      </c>
      <c r="B38" s="9">
        <v>162099</v>
      </c>
      <c r="C38" s="9">
        <v>-10656</v>
      </c>
      <c r="D38" s="9">
        <v>151443</v>
      </c>
      <c r="E38" s="9">
        <v>-16806</v>
      </c>
      <c r="F38" s="9">
        <v>134637</v>
      </c>
      <c r="G38" s="105">
        <f t="shared" si="0"/>
        <v>-6.5737604797068458E-2</v>
      </c>
      <c r="H38" s="12" t="s">
        <v>472</v>
      </c>
      <c r="K38" s="9"/>
      <c r="L38" s="9"/>
      <c r="N38" s="140"/>
      <c r="O38" s="12"/>
      <c r="P38" s="140"/>
      <c r="R38" s="12"/>
      <c r="S38" s="89"/>
      <c r="T38" s="12"/>
    </row>
    <row r="39" spans="1:20" x14ac:dyDescent="0.2">
      <c r="A39" s="32" t="s">
        <v>377</v>
      </c>
      <c r="B39" s="9">
        <v>273178</v>
      </c>
      <c r="C39" s="9">
        <v>-17752</v>
      </c>
      <c r="D39" s="9">
        <v>255426</v>
      </c>
      <c r="E39" s="9">
        <v>-25469</v>
      </c>
      <c r="F39" s="9">
        <v>229957</v>
      </c>
      <c r="G39" s="105">
        <f t="shared" si="0"/>
        <v>-6.4983270980825694E-2</v>
      </c>
      <c r="H39" s="12"/>
      <c r="K39" s="9"/>
      <c r="L39" s="9"/>
      <c r="M39" s="9"/>
      <c r="N39" s="78"/>
      <c r="P39" s="78"/>
    </row>
    <row r="40" spans="1:20" x14ac:dyDescent="0.2">
      <c r="A40" s="93" t="s">
        <v>378</v>
      </c>
      <c r="B40" s="96">
        <v>57832060</v>
      </c>
      <c r="C40" s="96">
        <v>-859721</v>
      </c>
      <c r="D40" s="96">
        <v>56972339</v>
      </c>
      <c r="E40" s="96">
        <v>-5485904</v>
      </c>
      <c r="F40" s="96">
        <v>51486435</v>
      </c>
    </row>
    <row r="42" spans="1:20" x14ac:dyDescent="0.2">
      <c r="C42" s="92" t="s">
        <v>433</v>
      </c>
      <c r="D42" s="40">
        <f>1-D5/D40</f>
        <v>0.53212501947655688</v>
      </c>
    </row>
    <row r="43" spans="1:20" x14ac:dyDescent="0.2">
      <c r="D43" s="35"/>
    </row>
    <row r="46" spans="1:20" x14ac:dyDescent="0.2">
      <c r="D46" s="32"/>
    </row>
  </sheetData>
  <mergeCells count="1">
    <mergeCell ref="A1:F1"/>
  </mergeCells>
  <pageMargins left="0.2" right="0.2" top="0.75" bottom="0.75" header="0.3" footer="0.3"/>
  <pageSetup scale="8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zoomScaleNormal="100" workbookViewId="0">
      <pane xSplit="1" ySplit="2" topLeftCell="B3" activePane="bottomRight" state="frozenSplit"/>
      <selection pane="topRight" activeCell="E1" sqref="E1"/>
      <selection pane="bottomLeft" activeCell="A16" sqref="A16"/>
      <selection pane="bottomRight" activeCell="C12" sqref="C12"/>
    </sheetView>
  </sheetViews>
  <sheetFormatPr defaultRowHeight="12.75" outlineLevelCol="1" x14ac:dyDescent="0.2"/>
  <cols>
    <col min="1" max="1" width="29.28515625" bestFit="1" customWidth="1"/>
    <col min="2" max="2" width="16.7109375" style="6" bestFit="1" customWidth="1"/>
    <col min="3" max="3" width="14.28515625" bestFit="1" customWidth="1"/>
    <col min="4" max="4" width="12.28515625" style="32" customWidth="1"/>
    <col min="5" max="5" width="17.7109375" style="24" customWidth="1"/>
    <col min="6" max="6" width="14.28515625" style="32" customWidth="1"/>
    <col min="7" max="8" width="19.28515625" style="32" customWidth="1" outlineLevel="1"/>
    <col min="9" max="9" width="18.28515625" style="32" customWidth="1" outlineLevel="1"/>
    <col min="10" max="10" width="76.28515625" bestFit="1" customWidth="1"/>
    <col min="11" max="12" width="13.28515625" bestFit="1" customWidth="1"/>
    <col min="13" max="13" width="10.42578125" bestFit="1" customWidth="1"/>
  </cols>
  <sheetData>
    <row r="1" spans="1:14" s="24" customFormat="1" x14ac:dyDescent="0.2">
      <c r="B1" s="167" t="s">
        <v>538</v>
      </c>
      <c r="C1" s="167"/>
      <c r="D1" s="167"/>
      <c r="E1" s="166" t="s">
        <v>522</v>
      </c>
      <c r="F1" s="166"/>
      <c r="G1" s="166"/>
      <c r="H1" s="166"/>
      <c r="I1" s="166"/>
    </row>
    <row r="2" spans="1:14" x14ac:dyDescent="0.2">
      <c r="A2" s="24"/>
      <c r="B2" s="82" t="s">
        <v>418</v>
      </c>
      <c r="C2" s="83" t="s">
        <v>449</v>
      </c>
      <c r="D2" s="83" t="s">
        <v>403</v>
      </c>
      <c r="E2" s="84" t="s">
        <v>431</v>
      </c>
      <c r="F2" s="84" t="s">
        <v>385</v>
      </c>
      <c r="G2" s="84" t="s">
        <v>419</v>
      </c>
      <c r="H2" s="84" t="s">
        <v>420</v>
      </c>
      <c r="I2" s="84" t="s">
        <v>421</v>
      </c>
      <c r="J2" s="30" t="s">
        <v>343</v>
      </c>
      <c r="K2" s="84" t="s">
        <v>476</v>
      </c>
    </row>
    <row r="3" spans="1:14" x14ac:dyDescent="0.2">
      <c r="A3" s="24" t="s">
        <v>161</v>
      </c>
      <c r="B3" s="28">
        <v>6596927.2531934232</v>
      </c>
      <c r="C3" s="28">
        <f>12236608.98-71689.84-601.34-6224862</f>
        <v>5939455.8000000007</v>
      </c>
      <c r="D3" s="28">
        <f>C3-B3</f>
        <v>-657471.45319342241</v>
      </c>
      <c r="E3" s="28">
        <f>SUM(F3:I3)</f>
        <v>6636716</v>
      </c>
      <c r="F3" s="28">
        <v>6636716</v>
      </c>
      <c r="G3" s="28"/>
      <c r="H3" s="28"/>
      <c r="I3" s="28"/>
    </row>
    <row r="4" spans="1:14" x14ac:dyDescent="0.2">
      <c r="A4" s="24" t="s">
        <v>162</v>
      </c>
      <c r="B4" s="28">
        <v>8209767.9568195939</v>
      </c>
      <c r="C4" s="28">
        <f>(10183716.99-301313.97)-2064930.56</f>
        <v>7817472.459999999</v>
      </c>
      <c r="D4" s="28">
        <f t="shared" ref="D4:D19" si="0">C4-B4</f>
        <v>-392295.49681959487</v>
      </c>
      <c r="E4" s="28">
        <f t="shared" ref="E4:E18" si="1">SUM(F4:I4)</f>
        <v>8563512.1499999985</v>
      </c>
      <c r="F4" s="28">
        <f>(6124467+179524+4467741-2417086)*1.025</f>
        <v>8563512.1499999985</v>
      </c>
      <c r="G4" s="28"/>
      <c r="H4" s="28"/>
      <c r="I4" s="28"/>
      <c r="J4" s="24" t="s">
        <v>475</v>
      </c>
      <c r="K4" s="32" t="s">
        <v>493</v>
      </c>
    </row>
    <row r="5" spans="1:14" s="32" customFormat="1" x14ac:dyDescent="0.2">
      <c r="A5" s="33" t="s">
        <v>342</v>
      </c>
      <c r="B5" s="28">
        <v>3388203.0661763493</v>
      </c>
      <c r="C5" s="28">
        <f>2461351.54-209433.77</f>
        <v>2251917.77</v>
      </c>
      <c r="D5" s="28">
        <f t="shared" si="0"/>
        <v>-1136285.2961763493</v>
      </c>
      <c r="E5" s="28">
        <f t="shared" si="1"/>
        <v>2477337</v>
      </c>
      <c r="F5" s="28">
        <v>2477337</v>
      </c>
      <c r="G5" s="28"/>
      <c r="H5" s="28"/>
      <c r="I5" s="28"/>
    </row>
    <row r="6" spans="1:14" x14ac:dyDescent="0.2">
      <c r="A6" s="24" t="s">
        <v>164</v>
      </c>
      <c r="B6" s="28">
        <v>3408316.0378150712</v>
      </c>
      <c r="C6" s="28">
        <f>2717263.59-10330</f>
        <v>2706933.59</v>
      </c>
      <c r="D6" s="28">
        <f t="shared" si="0"/>
        <v>-701382.44781507133</v>
      </c>
      <c r="E6" s="28">
        <f t="shared" si="1"/>
        <v>3578164</v>
      </c>
      <c r="F6" s="28">
        <v>3578164</v>
      </c>
      <c r="G6" s="28"/>
      <c r="H6" s="28"/>
      <c r="I6" s="28"/>
      <c r="J6" s="24"/>
    </row>
    <row r="7" spans="1:14" x14ac:dyDescent="0.2">
      <c r="A7" s="24" t="s">
        <v>165</v>
      </c>
      <c r="B7" s="28">
        <v>140310.19999999998</v>
      </c>
      <c r="C7" s="28">
        <v>130415</v>
      </c>
      <c r="D7" s="28">
        <f t="shared" si="0"/>
        <v>-9895.1999999999825</v>
      </c>
      <c r="E7" s="28">
        <f t="shared" si="1"/>
        <v>137314.125</v>
      </c>
      <c r="F7" s="28">
        <f>133965*1.025</f>
        <v>137314.125</v>
      </c>
      <c r="G7" s="28"/>
      <c r="H7" s="28"/>
      <c r="I7" s="28"/>
      <c r="J7" s="25" t="s">
        <v>386</v>
      </c>
    </row>
    <row r="8" spans="1:14" x14ac:dyDescent="0.2">
      <c r="A8" s="24" t="s">
        <v>157</v>
      </c>
      <c r="B8" s="28">
        <v>1584157.6023441388</v>
      </c>
      <c r="C8" s="28">
        <f>1575903.43-224305</f>
        <v>1351598.43</v>
      </c>
      <c r="D8" s="28">
        <f t="shared" si="0"/>
        <v>-232559.17234413885</v>
      </c>
      <c r="E8" s="28">
        <f t="shared" si="1"/>
        <v>1816090</v>
      </c>
      <c r="F8" s="28">
        <v>1816090</v>
      </c>
      <c r="G8" s="28"/>
      <c r="H8" s="28"/>
      <c r="I8" s="28"/>
      <c r="J8" s="24"/>
      <c r="K8" s="32"/>
    </row>
    <row r="9" spans="1:14" x14ac:dyDescent="0.2">
      <c r="A9" s="24" t="s">
        <v>159</v>
      </c>
      <c r="B9" s="28">
        <v>20528811.177829389</v>
      </c>
      <c r="C9" s="160">
        <v>18597912</v>
      </c>
      <c r="D9" s="28">
        <f t="shared" si="0"/>
        <v>-1930899.1778293885</v>
      </c>
      <c r="E9" s="28">
        <f t="shared" si="1"/>
        <v>21387243.64468782</v>
      </c>
      <c r="F9" s="120">
        <f>(20865603.555793)*1.025</f>
        <v>21387243.64468782</v>
      </c>
      <c r="G9" s="28"/>
      <c r="H9" s="28"/>
      <c r="I9" s="28"/>
      <c r="J9" s="33" t="s">
        <v>497</v>
      </c>
    </row>
    <row r="10" spans="1:14" x14ac:dyDescent="0.2">
      <c r="A10" s="24" t="s">
        <v>163</v>
      </c>
      <c r="B10" s="28">
        <v>3367088.210008949</v>
      </c>
      <c r="C10" s="28">
        <v>3204911.21</v>
      </c>
      <c r="D10" s="28">
        <f t="shared" si="0"/>
        <v>-162177.00000894908</v>
      </c>
      <c r="E10" s="28">
        <f t="shared" si="1"/>
        <v>3644758.55</v>
      </c>
      <c r="F10" s="28">
        <f>(1912161+2193701-550000)*1.025</f>
        <v>3644758.55</v>
      </c>
      <c r="G10" s="28"/>
      <c r="H10" s="28"/>
      <c r="I10" s="28"/>
      <c r="J10" s="25" t="s">
        <v>432</v>
      </c>
      <c r="K10" s="33" t="s">
        <v>479</v>
      </c>
    </row>
    <row r="11" spans="1:14" x14ac:dyDescent="0.2">
      <c r="A11" s="24" t="s">
        <v>160</v>
      </c>
      <c r="B11" s="28">
        <v>548424.14999999991</v>
      </c>
      <c r="C11" s="28">
        <f>(600256.72-300807)+126352.73+9734.67</f>
        <v>435537.11999999994</v>
      </c>
      <c r="D11" s="28">
        <f t="shared" si="0"/>
        <v>-112887.02999999997</v>
      </c>
      <c r="E11" s="28">
        <f t="shared" si="1"/>
        <v>732796.07499999995</v>
      </c>
      <c r="F11" s="28">
        <f>(136826+165674+139356+152511+52387+68169)*1.025</f>
        <v>732796.07499999995</v>
      </c>
      <c r="G11" s="28"/>
      <c r="H11" s="9"/>
      <c r="I11" s="28"/>
      <c r="J11" s="29" t="s">
        <v>477</v>
      </c>
      <c r="K11" s="33" t="s">
        <v>481</v>
      </c>
    </row>
    <row r="12" spans="1:14" x14ac:dyDescent="0.2">
      <c r="A12" s="24" t="s">
        <v>316</v>
      </c>
      <c r="B12" s="28">
        <v>1163752.575</v>
      </c>
      <c r="C12" s="159">
        <f>(0.6*416999)+(521978-224)+153288</f>
        <v>925241.4</v>
      </c>
      <c r="D12" s="28">
        <f t="shared" si="0"/>
        <v>-238511.17499999993</v>
      </c>
      <c r="E12" s="28">
        <f t="shared" si="1"/>
        <v>1307554.165</v>
      </c>
      <c r="F12" s="28">
        <f>((1177319+896+22869+34303+40697+614796+27131-125000-187140)*0.6+125000+187140)*1.025</f>
        <v>1307554.165</v>
      </c>
      <c r="G12" s="28"/>
      <c r="H12" s="28"/>
      <c r="I12" s="28"/>
      <c r="J12" s="29" t="s">
        <v>447</v>
      </c>
      <c r="K12" s="32"/>
      <c r="L12" s="34">
        <f>723506+293741</f>
        <v>1017247</v>
      </c>
      <c r="M12" s="34">
        <f>1776412-86654</f>
        <v>1689758</v>
      </c>
      <c r="N12" s="34">
        <f>L12/M12*86654</f>
        <v>52166.358459613737</v>
      </c>
    </row>
    <row r="13" spans="1:14" x14ac:dyDescent="0.2">
      <c r="A13" s="24" t="s">
        <v>152</v>
      </c>
      <c r="B13" s="28">
        <v>1149581</v>
      </c>
      <c r="C13" s="28">
        <v>1150493</v>
      </c>
      <c r="D13" s="28">
        <f t="shared" si="0"/>
        <v>912</v>
      </c>
      <c r="E13" s="28">
        <f t="shared" si="1"/>
        <v>1229274</v>
      </c>
      <c r="F13" s="28">
        <v>1229274</v>
      </c>
      <c r="G13" s="71"/>
      <c r="H13" s="71"/>
      <c r="I13" s="28"/>
      <c r="J13" s="33"/>
      <c r="K13" s="33" t="s">
        <v>480</v>
      </c>
    </row>
    <row r="14" spans="1:14" x14ac:dyDescent="0.2">
      <c r="A14" s="24" t="s">
        <v>151</v>
      </c>
      <c r="B14" s="28">
        <v>1398800.075</v>
      </c>
      <c r="C14" s="28">
        <f>(0.5*650347)+1258847+449</f>
        <v>1584469.5</v>
      </c>
      <c r="D14" s="28">
        <f t="shared" si="0"/>
        <v>185669.42500000005</v>
      </c>
      <c r="E14" s="28">
        <f t="shared" si="1"/>
        <v>1433453.2749999999</v>
      </c>
      <c r="F14" s="28">
        <f>((0.5*873048)+961967)*1.025</f>
        <v>1433453.2749999999</v>
      </c>
      <c r="G14" s="28"/>
      <c r="H14" s="28"/>
      <c r="I14" s="28"/>
      <c r="J14" s="25" t="s">
        <v>448</v>
      </c>
      <c r="K14" t="s">
        <v>478</v>
      </c>
    </row>
    <row r="15" spans="1:14" x14ac:dyDescent="0.2">
      <c r="A15" s="24" t="s">
        <v>153</v>
      </c>
      <c r="B15" s="28">
        <v>1179802</v>
      </c>
      <c r="C15" s="28">
        <v>1169520</v>
      </c>
      <c r="D15" s="28">
        <f t="shared" si="0"/>
        <v>-10282</v>
      </c>
      <c r="E15" s="28">
        <f t="shared" si="1"/>
        <v>1229274</v>
      </c>
      <c r="F15" s="28">
        <v>1229274</v>
      </c>
      <c r="G15" s="71"/>
      <c r="H15" s="71"/>
      <c r="I15" s="28"/>
      <c r="J15" s="24"/>
    </row>
    <row r="16" spans="1:14" x14ac:dyDescent="0.2">
      <c r="A16" s="24" t="s">
        <v>154</v>
      </c>
      <c r="B16" s="28">
        <v>1184923</v>
      </c>
      <c r="C16" s="28">
        <v>1134153</v>
      </c>
      <c r="D16" s="28">
        <f t="shared" si="0"/>
        <v>-50770</v>
      </c>
      <c r="E16" s="28">
        <f t="shared" si="1"/>
        <v>1229274</v>
      </c>
      <c r="F16" s="28">
        <v>1229274</v>
      </c>
      <c r="G16" s="71"/>
      <c r="H16" s="71"/>
      <c r="I16" s="28"/>
      <c r="J16" s="24"/>
      <c r="K16" s="33" t="s">
        <v>480</v>
      </c>
    </row>
    <row r="17" spans="1:11" x14ac:dyDescent="0.2">
      <c r="A17" s="24" t="s">
        <v>155</v>
      </c>
      <c r="B17" s="28">
        <v>1179070</v>
      </c>
      <c r="C17" s="28">
        <v>1178789</v>
      </c>
      <c r="D17" s="28">
        <f t="shared" si="0"/>
        <v>-281</v>
      </c>
      <c r="E17" s="28">
        <f t="shared" si="1"/>
        <v>1229274</v>
      </c>
      <c r="F17" s="28">
        <v>1229274</v>
      </c>
      <c r="G17" s="71"/>
      <c r="H17" s="71"/>
      <c r="I17" s="28"/>
      <c r="J17" s="24"/>
      <c r="K17" s="33" t="s">
        <v>480</v>
      </c>
    </row>
    <row r="18" spans="1:11" x14ac:dyDescent="0.2">
      <c r="A18" s="72" t="s">
        <v>169</v>
      </c>
      <c r="B18" s="28">
        <v>322444</v>
      </c>
      <c r="C18" s="80">
        <v>275522</v>
      </c>
      <c r="D18" s="28">
        <f t="shared" si="0"/>
        <v>-46922</v>
      </c>
      <c r="E18" s="28">
        <f t="shared" si="1"/>
        <v>340306</v>
      </c>
      <c r="F18" s="28">
        <v>340306</v>
      </c>
      <c r="G18" s="80"/>
      <c r="H18" s="80"/>
      <c r="I18" s="28"/>
      <c r="J18" s="25" t="s">
        <v>387</v>
      </c>
      <c r="K18" s="33" t="s">
        <v>480</v>
      </c>
    </row>
    <row r="19" spans="1:11" s="32" customFormat="1" x14ac:dyDescent="0.2">
      <c r="A19" s="77" t="s">
        <v>417</v>
      </c>
      <c r="B19" s="28">
        <v>18857</v>
      </c>
      <c r="C19" s="28"/>
      <c r="D19" s="28">
        <f t="shared" si="0"/>
        <v>-18857</v>
      </c>
      <c r="E19" s="28">
        <f>SUM(F19:I19)</f>
        <v>0</v>
      </c>
      <c r="F19" s="81"/>
      <c r="G19" s="71"/>
      <c r="H19" s="71"/>
      <c r="I19" s="28"/>
      <c r="J19" s="33" t="s">
        <v>416</v>
      </c>
    </row>
    <row r="20" spans="1:11" x14ac:dyDescent="0.2">
      <c r="A20" s="74" t="s">
        <v>339</v>
      </c>
      <c r="B20" s="73">
        <f t="shared" ref="B20:I20" si="2">SUM(B3:B19)</f>
        <v>55369235.304186918</v>
      </c>
      <c r="C20" s="73">
        <f t="shared" si="2"/>
        <v>49854341.279999994</v>
      </c>
      <c r="D20" s="73">
        <f t="shared" si="2"/>
        <v>-5514894.0241869148</v>
      </c>
      <c r="E20" s="73">
        <f>SUM(E3:E19)</f>
        <v>56972340.98468782</v>
      </c>
      <c r="F20" s="73">
        <f t="shared" si="2"/>
        <v>56972340.98468782</v>
      </c>
      <c r="G20" s="73">
        <f>SUM(G3:G19)</f>
        <v>0</v>
      </c>
      <c r="H20" s="73">
        <f t="shared" si="2"/>
        <v>0</v>
      </c>
      <c r="I20" s="73">
        <f t="shared" si="2"/>
        <v>0</v>
      </c>
    </row>
    <row r="21" spans="1:11" x14ac:dyDescent="0.2">
      <c r="A21" t="s">
        <v>380</v>
      </c>
      <c r="B21" s="26">
        <v>-25000</v>
      </c>
      <c r="C21" s="34">
        <v>-25000</v>
      </c>
      <c r="D21" s="34">
        <f>C21-B21</f>
        <v>0</v>
      </c>
      <c r="E21" s="34">
        <v>-25000</v>
      </c>
      <c r="F21" s="34"/>
      <c r="G21" s="34"/>
      <c r="H21" s="34"/>
      <c r="I21" s="34"/>
      <c r="J21" s="32" t="s">
        <v>413</v>
      </c>
    </row>
    <row r="22" spans="1:11" s="32" customFormat="1" x14ac:dyDescent="0.2">
      <c r="A22" s="32" t="s">
        <v>404</v>
      </c>
      <c r="B22" s="34">
        <v>-25000</v>
      </c>
      <c r="C22" s="34">
        <v>-25000</v>
      </c>
      <c r="D22" s="34">
        <f t="shared" ref="D22:D26" si="3">C22-B22</f>
        <v>0</v>
      </c>
      <c r="E22" s="34">
        <v>-25000</v>
      </c>
      <c r="F22" s="34"/>
      <c r="G22" s="34"/>
      <c r="H22" s="34"/>
      <c r="I22" s="34"/>
      <c r="J22" s="32" t="s">
        <v>413</v>
      </c>
    </row>
    <row r="23" spans="1:11" s="32" customFormat="1" x14ac:dyDescent="0.2">
      <c r="A23" s="32" t="s">
        <v>405</v>
      </c>
      <c r="B23" s="34">
        <v>-25000</v>
      </c>
      <c r="C23" s="34">
        <v>-25000</v>
      </c>
      <c r="D23" s="34">
        <f t="shared" si="3"/>
        <v>0</v>
      </c>
      <c r="E23" s="34">
        <v>-25000</v>
      </c>
      <c r="F23" s="34"/>
      <c r="G23" s="34"/>
      <c r="H23" s="34"/>
      <c r="I23" s="34"/>
      <c r="J23" s="32" t="s">
        <v>413</v>
      </c>
    </row>
    <row r="24" spans="1:11" s="32" customFormat="1" x14ac:dyDescent="0.2">
      <c r="A24" s="32" t="s">
        <v>240</v>
      </c>
      <c r="B24" s="34">
        <v>-25000</v>
      </c>
      <c r="C24" s="34">
        <v>-25000</v>
      </c>
      <c r="D24" s="34">
        <f t="shared" si="3"/>
        <v>0</v>
      </c>
      <c r="E24" s="34">
        <v>-25000</v>
      </c>
      <c r="F24" s="34"/>
      <c r="G24" s="34"/>
      <c r="H24" s="34"/>
      <c r="I24" s="34"/>
      <c r="J24" s="32" t="s">
        <v>413</v>
      </c>
    </row>
    <row r="25" spans="1:11" s="32" customFormat="1" x14ac:dyDescent="0.2">
      <c r="A25" s="32" t="s">
        <v>406</v>
      </c>
      <c r="B25" s="34">
        <v>-25000</v>
      </c>
      <c r="C25" s="34">
        <v>-25000</v>
      </c>
      <c r="D25" s="34">
        <f t="shared" si="3"/>
        <v>0</v>
      </c>
      <c r="E25" s="34">
        <v>-25000</v>
      </c>
      <c r="F25" s="34"/>
      <c r="G25" s="34"/>
      <c r="H25" s="34"/>
      <c r="I25" s="34"/>
      <c r="J25" s="32" t="s">
        <v>413</v>
      </c>
    </row>
    <row r="26" spans="1:11" s="32" customFormat="1" x14ac:dyDescent="0.2">
      <c r="A26" s="32" t="s">
        <v>537</v>
      </c>
      <c r="B26" s="120">
        <f>-1*(Model!S76+Model!S77)</f>
        <v>-261398</v>
      </c>
      <c r="C26" s="120">
        <f>-1*(Model!S76+Model!S77)</f>
        <v>-261398</v>
      </c>
      <c r="D26" s="34">
        <f t="shared" si="3"/>
        <v>0</v>
      </c>
      <c r="E26" s="34"/>
      <c r="F26" s="34"/>
      <c r="G26" s="34"/>
      <c r="H26" s="34"/>
      <c r="I26" s="34"/>
    </row>
    <row r="27" spans="1:11" x14ac:dyDescent="0.2">
      <c r="A27" s="11" t="s">
        <v>381</v>
      </c>
      <c r="B27" s="20">
        <f>SUM(B20:B26)</f>
        <v>54982837.304186918</v>
      </c>
      <c r="C27" s="20">
        <f>SUM(C20:C26)</f>
        <v>49467943.279999994</v>
      </c>
      <c r="D27" s="20">
        <f>SUM(D20:D25)</f>
        <v>-5514894.0241869148</v>
      </c>
      <c r="E27" s="20">
        <f>SUM(E20:E25)</f>
        <v>56847340.98468782</v>
      </c>
      <c r="F27" s="20"/>
      <c r="G27" s="20"/>
      <c r="H27" s="20"/>
      <c r="I27" s="20"/>
    </row>
    <row r="29" spans="1:11" x14ac:dyDescent="0.2">
      <c r="F29" s="9"/>
      <c r="G29" s="65"/>
      <c r="H29" s="65"/>
      <c r="I29" s="34"/>
      <c r="J29" s="78"/>
    </row>
    <row r="30" spans="1:11" x14ac:dyDescent="0.2">
      <c r="C30" s="32" t="s">
        <v>397</v>
      </c>
      <c r="G30" s="28"/>
      <c r="H30" s="9"/>
    </row>
    <row r="31" spans="1:11" x14ac:dyDescent="0.2">
      <c r="A31" t="s">
        <v>397</v>
      </c>
      <c r="B31" s="32"/>
      <c r="C31" s="32" t="s">
        <v>397</v>
      </c>
      <c r="E31" s="70"/>
      <c r="F31" s="70"/>
      <c r="G31" s="9"/>
      <c r="H31" s="108"/>
      <c r="I31"/>
    </row>
    <row r="32" spans="1:11" x14ac:dyDescent="0.2">
      <c r="B32" s="34"/>
      <c r="C32" s="154"/>
      <c r="D32" s="116"/>
      <c r="E32" s="114"/>
      <c r="F32" s="114"/>
      <c r="G32" s="9"/>
      <c r="H32" s="108"/>
      <c r="I32"/>
    </row>
    <row r="33" spans="1:10" x14ac:dyDescent="0.2">
      <c r="B33" s="34"/>
      <c r="C33" s="115"/>
      <c r="D33" s="117"/>
      <c r="E33" s="115" t="s">
        <v>397</v>
      </c>
      <c r="F33" s="114"/>
      <c r="H33"/>
      <c r="I33"/>
    </row>
    <row r="34" spans="1:10" x14ac:dyDescent="0.2">
      <c r="B34" s="34"/>
      <c r="C34" s="72"/>
      <c r="D34" s="141"/>
      <c r="E34" s="72"/>
      <c r="F34" s="114"/>
      <c r="H34" s="9"/>
      <c r="I34"/>
    </row>
    <row r="35" spans="1:10" s="32" customFormat="1" x14ac:dyDescent="0.2">
      <c r="B35" s="34"/>
      <c r="C35" s="72"/>
      <c r="D35" s="72"/>
      <c r="E35" s="115"/>
      <c r="F35" s="114"/>
    </row>
    <row r="36" spans="1:10" x14ac:dyDescent="0.2">
      <c r="B36" s="32"/>
      <c r="C36" s="113"/>
      <c r="D36" s="116"/>
      <c r="E36" s="114"/>
      <c r="F36" s="114"/>
      <c r="G36" s="34"/>
      <c r="H36"/>
      <c r="I36"/>
    </row>
    <row r="37" spans="1:10" x14ac:dyDescent="0.2">
      <c r="B37" s="33"/>
      <c r="C37" s="72"/>
      <c r="D37" s="72"/>
      <c r="E37" s="72"/>
      <c r="F37" s="72"/>
      <c r="G37" s="9"/>
      <c r="H37"/>
      <c r="I37"/>
    </row>
    <row r="38" spans="1:10" x14ac:dyDescent="0.2">
      <c r="A38" s="10"/>
      <c r="B38" s="36"/>
      <c r="C38" s="27"/>
      <c r="D38" s="36"/>
      <c r="E38" s="36"/>
      <c r="F38" s="36"/>
      <c r="H38" s="10"/>
      <c r="I38" s="10"/>
      <c r="J38" s="10"/>
    </row>
    <row r="39" spans="1:10" x14ac:dyDescent="0.2">
      <c r="B39" s="32"/>
      <c r="C39" s="24"/>
      <c r="E39" s="32"/>
      <c r="H39"/>
      <c r="I39"/>
    </row>
    <row r="40" spans="1:10" x14ac:dyDescent="0.2">
      <c r="B40" s="32"/>
      <c r="C40" s="24"/>
      <c r="E40" s="32"/>
      <c r="H40"/>
      <c r="I40"/>
    </row>
    <row r="41" spans="1:10" x14ac:dyDescent="0.2">
      <c r="B41" s="32"/>
      <c r="C41" s="24"/>
      <c r="E41" s="32"/>
      <c r="H41"/>
      <c r="I41"/>
    </row>
    <row r="42" spans="1:10" x14ac:dyDescent="0.2">
      <c r="B42" s="32"/>
      <c r="C42" s="24"/>
      <c r="E42" s="32"/>
      <c r="H42"/>
      <c r="I42"/>
    </row>
    <row r="43" spans="1:10" x14ac:dyDescent="0.2">
      <c r="B43" s="32"/>
      <c r="C43" s="24"/>
      <c r="E43" s="32"/>
      <c r="H43"/>
      <c r="I43"/>
    </row>
    <row r="44" spans="1:10" x14ac:dyDescent="0.2">
      <c r="B44" s="32"/>
      <c r="C44" s="24"/>
      <c r="E44" s="32"/>
      <c r="H44"/>
      <c r="I44"/>
    </row>
    <row r="45" spans="1:10" x14ac:dyDescent="0.2">
      <c r="B45" s="32"/>
      <c r="C45" s="24"/>
      <c r="E45" s="32"/>
      <c r="H45"/>
      <c r="I45"/>
    </row>
    <row r="46" spans="1:10" x14ac:dyDescent="0.2">
      <c r="B46" s="32"/>
      <c r="C46" s="24"/>
      <c r="E46" s="32"/>
      <c r="H46"/>
      <c r="I46"/>
    </row>
    <row r="47" spans="1:10" x14ac:dyDescent="0.2">
      <c r="B47" s="32"/>
      <c r="C47" s="24"/>
      <c r="E47" s="32"/>
      <c r="H47"/>
      <c r="I47"/>
    </row>
    <row r="48" spans="1:10" x14ac:dyDescent="0.2">
      <c r="B48" s="32"/>
      <c r="C48" s="24"/>
      <c r="E48" s="32"/>
      <c r="H48"/>
      <c r="I48"/>
    </row>
    <row r="49" spans="2:9" x14ac:dyDescent="0.2">
      <c r="B49" s="32"/>
      <c r="C49" s="24"/>
      <c r="E49" s="32"/>
      <c r="H49"/>
      <c r="I49"/>
    </row>
    <row r="50" spans="2:9" x14ac:dyDescent="0.2">
      <c r="B50" s="32"/>
      <c r="C50" s="24"/>
      <c r="E50" s="32"/>
      <c r="H50"/>
      <c r="I50"/>
    </row>
    <row r="51" spans="2:9" x14ac:dyDescent="0.2">
      <c r="B51" s="32"/>
      <c r="C51" s="24"/>
      <c r="E51" s="32"/>
      <c r="H51"/>
      <c r="I51"/>
    </row>
    <row r="52" spans="2:9" x14ac:dyDescent="0.2">
      <c r="B52" s="32"/>
      <c r="C52" s="24"/>
      <c r="E52" s="32"/>
      <c r="H52"/>
      <c r="I52"/>
    </row>
    <row r="53" spans="2:9" x14ac:dyDescent="0.2">
      <c r="B53" s="32"/>
      <c r="C53" s="24"/>
      <c r="E53" s="32"/>
      <c r="H53"/>
      <c r="I53"/>
    </row>
    <row r="54" spans="2:9" x14ac:dyDescent="0.2">
      <c r="B54" s="32"/>
      <c r="C54" s="24"/>
      <c r="E54" s="32"/>
      <c r="H54"/>
      <c r="I54"/>
    </row>
    <row r="55" spans="2:9" x14ac:dyDescent="0.2">
      <c r="B55" s="32"/>
      <c r="C55" s="24"/>
      <c r="E55" s="32"/>
      <c r="H55"/>
      <c r="I55"/>
    </row>
    <row r="56" spans="2:9" x14ac:dyDescent="0.2">
      <c r="B56" s="32"/>
      <c r="C56" s="24"/>
      <c r="E56" s="32"/>
      <c r="H56"/>
      <c r="I56"/>
    </row>
    <row r="57" spans="2:9" x14ac:dyDescent="0.2">
      <c r="B57" s="32"/>
      <c r="C57" s="24"/>
      <c r="E57" s="32"/>
      <c r="H57"/>
      <c r="I57"/>
    </row>
  </sheetData>
  <mergeCells count="2">
    <mergeCell ref="E1:I1"/>
    <mergeCell ref="B1:D1"/>
  </mergeCells>
  <pageMargins left="0.7" right="0.7" top="0.75" bottom="0.75" header="0.3" footer="0.3"/>
  <pageSetup scale="6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80"/>
  <sheetViews>
    <sheetView tabSelected="1" workbookViewId="0">
      <selection activeCell="G15" sqref="G15"/>
    </sheetView>
  </sheetViews>
  <sheetFormatPr defaultRowHeight="12.75" x14ac:dyDescent="0.2"/>
  <cols>
    <col min="1" max="1" width="45.28515625" bestFit="1" customWidth="1"/>
    <col min="2" max="4" width="17.7109375" style="34" customWidth="1"/>
    <col min="5" max="6" width="17.7109375" customWidth="1"/>
    <col min="7" max="7" width="10.42578125" bestFit="1" customWidth="1"/>
    <col min="8" max="9" width="9.5703125" bestFit="1" customWidth="1"/>
  </cols>
  <sheetData>
    <row r="1" spans="1:11" s="32" customFormat="1" ht="25.5" x14ac:dyDescent="0.35">
      <c r="A1" s="168" t="s">
        <v>550</v>
      </c>
      <c r="B1" s="168"/>
      <c r="C1" s="168"/>
      <c r="D1" s="168"/>
      <c r="E1" s="168"/>
      <c r="F1" s="168"/>
    </row>
    <row r="2" spans="1:11" x14ac:dyDescent="0.2">
      <c r="A2" s="32"/>
    </row>
    <row r="3" spans="1:11" x14ac:dyDescent="0.2">
      <c r="B3" s="19" t="s">
        <v>397</v>
      </c>
      <c r="C3" s="9"/>
      <c r="D3" s="9"/>
      <c r="E3" s="9"/>
      <c r="F3" s="9"/>
    </row>
    <row r="4" spans="1:11" s="66" customFormat="1" ht="25.5" x14ac:dyDescent="0.2">
      <c r="A4" s="112" t="s">
        <v>147</v>
      </c>
      <c r="B4" s="66" t="s">
        <v>490</v>
      </c>
      <c r="C4" s="32" t="s">
        <v>546</v>
      </c>
      <c r="D4" s="66" t="s">
        <v>544</v>
      </c>
      <c r="E4" s="66" t="s">
        <v>547</v>
      </c>
      <c r="F4" s="66" t="s">
        <v>545</v>
      </c>
    </row>
    <row r="5" spans="1:11" x14ac:dyDescent="0.2">
      <c r="A5" s="36" t="s">
        <v>345</v>
      </c>
      <c r="B5" s="9">
        <v>26803509</v>
      </c>
      <c r="C5" s="9">
        <v>-147577</v>
      </c>
      <c r="D5" s="9">
        <v>26655932</v>
      </c>
      <c r="E5" s="9">
        <v>-2544289</v>
      </c>
      <c r="F5" s="9">
        <v>24111643</v>
      </c>
      <c r="G5" s="105"/>
    </row>
    <row r="6" spans="1:11" x14ac:dyDescent="0.2">
      <c r="A6" s="36" t="s">
        <v>346</v>
      </c>
      <c r="B6" s="9">
        <v>7277263</v>
      </c>
      <c r="C6" s="9">
        <v>-365300</v>
      </c>
      <c r="D6" s="9">
        <v>6911963</v>
      </c>
      <c r="E6" s="9">
        <v>-704413</v>
      </c>
      <c r="F6" s="9">
        <v>6207550</v>
      </c>
      <c r="G6" s="105"/>
      <c r="K6" s="32"/>
    </row>
    <row r="7" spans="1:11" x14ac:dyDescent="0.2">
      <c r="A7" s="36" t="s">
        <v>347</v>
      </c>
      <c r="B7" s="9">
        <v>993764</v>
      </c>
      <c r="C7" s="9">
        <v>-29107</v>
      </c>
      <c r="D7" s="9">
        <v>964657</v>
      </c>
      <c r="E7" s="9">
        <v>-93885</v>
      </c>
      <c r="F7" s="9">
        <v>870772</v>
      </c>
      <c r="G7" s="105"/>
      <c r="K7" s="32"/>
    </row>
    <row r="8" spans="1:11" x14ac:dyDescent="0.2">
      <c r="A8" s="36" t="s">
        <v>348</v>
      </c>
      <c r="B8" s="9">
        <v>2241344</v>
      </c>
      <c r="C8" s="9">
        <v>147452</v>
      </c>
      <c r="D8" s="9">
        <v>2388796</v>
      </c>
      <c r="E8" s="9">
        <v>-192477</v>
      </c>
      <c r="F8" s="9">
        <v>2196319</v>
      </c>
      <c r="G8" s="105"/>
      <c r="K8" s="32"/>
    </row>
    <row r="9" spans="1:11" x14ac:dyDescent="0.2">
      <c r="A9" s="36" t="s">
        <v>349</v>
      </c>
      <c r="B9" s="9">
        <v>25000</v>
      </c>
      <c r="C9" s="9">
        <v>0</v>
      </c>
      <c r="D9" s="9">
        <v>25000</v>
      </c>
      <c r="E9" s="9">
        <v>0</v>
      </c>
      <c r="F9" s="9">
        <v>25000</v>
      </c>
      <c r="G9" s="105"/>
      <c r="K9" s="32"/>
    </row>
    <row r="10" spans="1:11" x14ac:dyDescent="0.2">
      <c r="A10" s="36" t="s">
        <v>411</v>
      </c>
      <c r="B10" s="9">
        <v>25000</v>
      </c>
      <c r="C10" s="9">
        <v>0</v>
      </c>
      <c r="D10" s="9">
        <v>25000</v>
      </c>
      <c r="E10" s="9">
        <v>0</v>
      </c>
      <c r="F10" s="9">
        <v>25000</v>
      </c>
      <c r="G10" s="105"/>
      <c r="K10" s="32"/>
    </row>
    <row r="11" spans="1:11" x14ac:dyDescent="0.2">
      <c r="A11" s="36" t="s">
        <v>350</v>
      </c>
      <c r="B11" s="9">
        <v>25000</v>
      </c>
      <c r="C11" s="9">
        <v>0</v>
      </c>
      <c r="D11" s="9">
        <v>25000</v>
      </c>
      <c r="E11" s="9">
        <v>0</v>
      </c>
      <c r="F11" s="9">
        <v>25000</v>
      </c>
      <c r="G11" s="105"/>
      <c r="K11" s="32"/>
    </row>
    <row r="12" spans="1:11" x14ac:dyDescent="0.2">
      <c r="A12" s="36" t="s">
        <v>351</v>
      </c>
      <c r="B12" s="9">
        <v>82079</v>
      </c>
      <c r="C12" s="9">
        <v>22633</v>
      </c>
      <c r="D12" s="9">
        <v>104712</v>
      </c>
      <c r="E12" s="9">
        <v>-6623</v>
      </c>
      <c r="F12" s="9">
        <v>98089</v>
      </c>
      <c r="G12" s="105"/>
      <c r="K12" s="32"/>
    </row>
    <row r="13" spans="1:11" x14ac:dyDescent="0.2">
      <c r="A13" s="36" t="s">
        <v>352</v>
      </c>
      <c r="B13" s="9">
        <v>7107</v>
      </c>
      <c r="C13" s="9">
        <v>-7107</v>
      </c>
      <c r="D13" s="9">
        <v>0</v>
      </c>
      <c r="E13" s="9">
        <v>-1838</v>
      </c>
      <c r="F13" s="9">
        <v>-1838</v>
      </c>
      <c r="G13" s="105"/>
      <c r="K13" s="32"/>
    </row>
    <row r="14" spans="1:11" x14ac:dyDescent="0.2">
      <c r="A14" s="36" t="s">
        <v>353</v>
      </c>
      <c r="B14" s="9">
        <v>25000</v>
      </c>
      <c r="C14" s="9">
        <v>0</v>
      </c>
      <c r="D14" s="9">
        <v>25000</v>
      </c>
      <c r="E14" s="9">
        <v>0</v>
      </c>
      <c r="F14" s="9">
        <v>25000</v>
      </c>
      <c r="G14" s="105"/>
      <c r="K14" s="32"/>
    </row>
    <row r="15" spans="1:11" x14ac:dyDescent="0.2">
      <c r="A15" s="36" t="s">
        <v>354</v>
      </c>
      <c r="B15" s="9">
        <v>661441</v>
      </c>
      <c r="C15" s="9">
        <v>94052</v>
      </c>
      <c r="D15" s="9">
        <v>755493</v>
      </c>
      <c r="E15" s="9">
        <v>-37517</v>
      </c>
      <c r="F15" s="9">
        <v>717976</v>
      </c>
      <c r="G15" s="105"/>
      <c r="K15" s="32"/>
    </row>
    <row r="16" spans="1:11" x14ac:dyDescent="0.2">
      <c r="A16" s="36" t="s">
        <v>412</v>
      </c>
      <c r="B16" s="9">
        <v>25000</v>
      </c>
      <c r="C16" s="9">
        <v>0</v>
      </c>
      <c r="D16" s="9">
        <v>25000</v>
      </c>
      <c r="E16" s="9">
        <v>0</v>
      </c>
      <c r="F16" s="9">
        <v>25000</v>
      </c>
      <c r="G16" s="105"/>
      <c r="K16" s="32"/>
    </row>
    <row r="17" spans="1:11" x14ac:dyDescent="0.2">
      <c r="A17" s="36" t="s">
        <v>436</v>
      </c>
      <c r="B17" s="9">
        <v>78</v>
      </c>
      <c r="C17" s="9">
        <v>-78</v>
      </c>
      <c r="D17" s="9">
        <v>0</v>
      </c>
      <c r="E17" s="9">
        <v>-9</v>
      </c>
      <c r="F17" s="9">
        <v>-9</v>
      </c>
      <c r="G17" s="105"/>
      <c r="K17" s="32"/>
    </row>
    <row r="18" spans="1:11" x14ac:dyDescent="0.2">
      <c r="A18" s="36" t="s">
        <v>355</v>
      </c>
      <c r="B18" s="9">
        <v>11494</v>
      </c>
      <c r="C18" s="9">
        <v>-8303</v>
      </c>
      <c r="D18" s="9">
        <v>3191</v>
      </c>
      <c r="E18" s="9">
        <v>-1100</v>
      </c>
      <c r="F18" s="9">
        <v>2091</v>
      </c>
      <c r="G18" s="105"/>
      <c r="K18" s="32"/>
    </row>
    <row r="19" spans="1:11" x14ac:dyDescent="0.2">
      <c r="A19" s="36" t="s">
        <v>356</v>
      </c>
      <c r="B19" s="9">
        <v>141</v>
      </c>
      <c r="C19" s="9">
        <v>-26</v>
      </c>
      <c r="D19" s="9">
        <v>115</v>
      </c>
      <c r="E19" s="9">
        <v>-11</v>
      </c>
      <c r="F19" s="9">
        <v>104</v>
      </c>
      <c r="G19" s="105"/>
      <c r="K19" s="32"/>
    </row>
    <row r="20" spans="1:11" x14ac:dyDescent="0.2">
      <c r="A20" s="36" t="s">
        <v>357</v>
      </c>
      <c r="B20" s="9">
        <v>527294</v>
      </c>
      <c r="C20" s="9">
        <v>93966</v>
      </c>
      <c r="D20" s="9">
        <v>621260</v>
      </c>
      <c r="E20" s="9">
        <v>-38168</v>
      </c>
      <c r="F20" s="9">
        <v>583092</v>
      </c>
      <c r="G20" s="105"/>
      <c r="K20" s="32"/>
    </row>
    <row r="21" spans="1:11" x14ac:dyDescent="0.2">
      <c r="A21" s="36" t="s">
        <v>359</v>
      </c>
      <c r="B21" s="9">
        <v>6603811</v>
      </c>
      <c r="C21" s="9">
        <v>-359568</v>
      </c>
      <c r="D21" s="9">
        <v>6244243</v>
      </c>
      <c r="E21" s="9">
        <v>-643621</v>
      </c>
      <c r="F21" s="9">
        <v>5600622</v>
      </c>
      <c r="G21" s="105"/>
      <c r="K21" s="32"/>
    </row>
    <row r="22" spans="1:11" x14ac:dyDescent="0.2">
      <c r="A22" s="36" t="s">
        <v>360</v>
      </c>
      <c r="B22" s="9">
        <v>31947</v>
      </c>
      <c r="C22" s="9">
        <v>20048</v>
      </c>
      <c r="D22" s="9">
        <v>51995</v>
      </c>
      <c r="E22" s="9">
        <v>-2765</v>
      </c>
      <c r="F22" s="9">
        <v>49230</v>
      </c>
      <c r="G22" s="105"/>
      <c r="K22" s="32"/>
    </row>
    <row r="23" spans="1:11" x14ac:dyDescent="0.2">
      <c r="A23" s="36" t="s">
        <v>361</v>
      </c>
      <c r="B23" s="9">
        <v>5240634</v>
      </c>
      <c r="C23" s="9">
        <v>-321739</v>
      </c>
      <c r="D23" s="9">
        <v>4918895</v>
      </c>
      <c r="E23" s="9">
        <v>-538854</v>
      </c>
      <c r="F23" s="9">
        <v>4380041</v>
      </c>
      <c r="G23" s="105"/>
      <c r="K23" s="32"/>
    </row>
    <row r="24" spans="1:11" x14ac:dyDescent="0.2">
      <c r="A24" s="36" t="s">
        <v>362</v>
      </c>
      <c r="B24" s="9">
        <v>431521</v>
      </c>
      <c r="C24" s="9">
        <v>-39759</v>
      </c>
      <c r="D24" s="9">
        <v>391762</v>
      </c>
      <c r="E24" s="9">
        <v>-42263</v>
      </c>
      <c r="F24" s="9">
        <v>349499</v>
      </c>
      <c r="G24" s="105"/>
      <c r="K24" s="32"/>
    </row>
    <row r="25" spans="1:11" x14ac:dyDescent="0.2">
      <c r="A25" s="36" t="s">
        <v>363</v>
      </c>
      <c r="B25" s="9">
        <v>73394</v>
      </c>
      <c r="C25" s="9">
        <v>4248</v>
      </c>
      <c r="D25" s="9">
        <v>77642</v>
      </c>
      <c r="E25" s="9">
        <v>-6694</v>
      </c>
      <c r="F25" s="9">
        <v>70948</v>
      </c>
      <c r="G25" s="105"/>
      <c r="K25" s="32"/>
    </row>
    <row r="26" spans="1:11" x14ac:dyDescent="0.2">
      <c r="A26" s="36" t="s">
        <v>364</v>
      </c>
      <c r="B26" s="9">
        <v>193635</v>
      </c>
      <c r="C26" s="9">
        <v>-14501</v>
      </c>
      <c r="D26" s="9">
        <v>179134</v>
      </c>
      <c r="E26" s="9">
        <v>-19159</v>
      </c>
      <c r="F26" s="9">
        <v>159975</v>
      </c>
      <c r="G26" s="105"/>
      <c r="K26" s="32"/>
    </row>
    <row r="27" spans="1:11" x14ac:dyDescent="0.2">
      <c r="A27" s="36" t="s">
        <v>365</v>
      </c>
      <c r="B27" s="9">
        <v>206477</v>
      </c>
      <c r="C27" s="9">
        <v>11657</v>
      </c>
      <c r="D27" s="9">
        <v>218134</v>
      </c>
      <c r="E27" s="9">
        <v>-18279</v>
      </c>
      <c r="F27" s="9">
        <v>199855</v>
      </c>
      <c r="G27" s="105"/>
      <c r="K27" s="32"/>
    </row>
    <row r="28" spans="1:11" x14ac:dyDescent="0.2">
      <c r="A28" s="36" t="s">
        <v>366</v>
      </c>
      <c r="B28" s="9">
        <v>188875</v>
      </c>
      <c r="C28" s="9">
        <v>19755</v>
      </c>
      <c r="D28" s="9">
        <v>208630</v>
      </c>
      <c r="E28" s="9">
        <v>-12923</v>
      </c>
      <c r="F28" s="9">
        <v>195707</v>
      </c>
      <c r="G28" s="105"/>
      <c r="K28" s="32"/>
    </row>
    <row r="29" spans="1:11" x14ac:dyDescent="0.2">
      <c r="A29" s="36" t="s">
        <v>367</v>
      </c>
      <c r="B29" s="9">
        <v>102915</v>
      </c>
      <c r="C29" s="9">
        <v>-32776</v>
      </c>
      <c r="D29" s="9">
        <v>70139</v>
      </c>
      <c r="E29" s="9">
        <v>-12797</v>
      </c>
      <c r="F29" s="9">
        <v>57342</v>
      </c>
      <c r="G29" s="105"/>
      <c r="K29" s="32"/>
    </row>
    <row r="30" spans="1:11" x14ac:dyDescent="0.2">
      <c r="A30" s="36" t="s">
        <v>368</v>
      </c>
      <c r="B30" s="9">
        <v>316211</v>
      </c>
      <c r="C30" s="9">
        <v>-17412</v>
      </c>
      <c r="D30" s="9">
        <v>298799</v>
      </c>
      <c r="E30" s="9">
        <v>-31990</v>
      </c>
      <c r="F30" s="9">
        <v>266809</v>
      </c>
      <c r="G30" s="105"/>
      <c r="K30" s="32"/>
    </row>
    <row r="31" spans="1:11" x14ac:dyDescent="0.2">
      <c r="A31" s="36" t="s">
        <v>369</v>
      </c>
      <c r="B31" s="9">
        <v>1035829</v>
      </c>
      <c r="C31" s="9">
        <v>270665</v>
      </c>
      <c r="D31" s="9">
        <v>1306494</v>
      </c>
      <c r="E31" s="9">
        <v>-91958</v>
      </c>
      <c r="F31" s="9">
        <v>1214536</v>
      </c>
      <c r="G31" s="105"/>
      <c r="K31" s="32"/>
    </row>
    <row r="32" spans="1:11" x14ac:dyDescent="0.2">
      <c r="A32" s="36" t="s">
        <v>370</v>
      </c>
      <c r="B32" s="9">
        <v>1204181</v>
      </c>
      <c r="C32" s="9">
        <v>-50094</v>
      </c>
      <c r="D32" s="9">
        <v>1154087</v>
      </c>
      <c r="E32" s="9">
        <v>-114305</v>
      </c>
      <c r="F32" s="9">
        <v>1039782</v>
      </c>
      <c r="G32" s="105"/>
      <c r="K32" s="32"/>
    </row>
    <row r="33" spans="1:11" x14ac:dyDescent="0.2">
      <c r="A33" s="36" t="s">
        <v>371</v>
      </c>
      <c r="B33" s="9">
        <v>275292</v>
      </c>
      <c r="C33" s="9">
        <v>-13724</v>
      </c>
      <c r="D33" s="9">
        <v>261568</v>
      </c>
      <c r="E33" s="9">
        <v>-26216</v>
      </c>
      <c r="F33" s="9">
        <v>235352</v>
      </c>
      <c r="G33" s="105"/>
      <c r="K33" s="32"/>
    </row>
    <row r="34" spans="1:11" x14ac:dyDescent="0.2">
      <c r="A34" s="36" t="s">
        <v>372</v>
      </c>
      <c r="B34" s="9">
        <v>199259</v>
      </c>
      <c r="C34" s="9">
        <v>-4042</v>
      </c>
      <c r="D34" s="9">
        <v>195217</v>
      </c>
      <c r="E34" s="9">
        <v>-18488</v>
      </c>
      <c r="F34" s="9">
        <v>176729</v>
      </c>
      <c r="G34" s="105"/>
      <c r="K34" s="32"/>
    </row>
    <row r="35" spans="1:11" x14ac:dyDescent="0.2">
      <c r="A35" s="36" t="s">
        <v>373</v>
      </c>
      <c r="B35" s="9">
        <v>102337</v>
      </c>
      <c r="C35" s="9">
        <v>-3162</v>
      </c>
      <c r="D35" s="9">
        <v>99175</v>
      </c>
      <c r="E35" s="9">
        <v>-9825</v>
      </c>
      <c r="F35" s="9">
        <v>89350</v>
      </c>
      <c r="G35" s="105"/>
      <c r="K35" s="32"/>
    </row>
    <row r="36" spans="1:11" x14ac:dyDescent="0.2">
      <c r="A36" s="36" t="s">
        <v>374</v>
      </c>
      <c r="B36" s="9">
        <v>2275250</v>
      </c>
      <c r="C36" s="9">
        <v>-93993</v>
      </c>
      <c r="D36" s="9">
        <v>2181257</v>
      </c>
      <c r="E36" s="9">
        <v>-214479</v>
      </c>
      <c r="F36" s="9">
        <v>1966778</v>
      </c>
      <c r="G36" s="105"/>
      <c r="K36" s="32"/>
    </row>
    <row r="37" spans="1:11" x14ac:dyDescent="0.2">
      <c r="A37" s="36" t="s">
        <v>375</v>
      </c>
      <c r="B37" s="9">
        <v>184701</v>
      </c>
      <c r="C37" s="9">
        <v>-7521</v>
      </c>
      <c r="D37" s="9">
        <v>177180</v>
      </c>
      <c r="E37" s="9">
        <v>-18683</v>
      </c>
      <c r="F37" s="9">
        <v>158497</v>
      </c>
      <c r="G37" s="105"/>
      <c r="K37" s="32"/>
    </row>
    <row r="38" spans="1:11" x14ac:dyDescent="0.2">
      <c r="A38" s="36" t="s">
        <v>376</v>
      </c>
      <c r="B38" s="9">
        <v>162099</v>
      </c>
      <c r="C38" s="9">
        <v>-10656</v>
      </c>
      <c r="D38" s="9">
        <v>151443</v>
      </c>
      <c r="E38" s="9">
        <v>-16806</v>
      </c>
      <c r="F38" s="9">
        <v>134637</v>
      </c>
      <c r="G38" s="105"/>
      <c r="H38" s="9"/>
      <c r="K38" s="32"/>
    </row>
    <row r="39" spans="1:11" x14ac:dyDescent="0.2">
      <c r="A39" s="36" t="s">
        <v>377</v>
      </c>
      <c r="B39" s="9">
        <v>273178</v>
      </c>
      <c r="C39" s="9">
        <v>-17752</v>
      </c>
      <c r="D39" s="9">
        <v>255426</v>
      </c>
      <c r="E39" s="9">
        <v>-25469</v>
      </c>
      <c r="F39" s="9">
        <v>229957</v>
      </c>
      <c r="G39" s="105"/>
      <c r="H39" s="9"/>
      <c r="I39" s="9"/>
      <c r="K39" s="32"/>
    </row>
    <row r="40" spans="1:11" x14ac:dyDescent="0.2">
      <c r="A40" s="36" t="s">
        <v>378</v>
      </c>
      <c r="B40" s="9">
        <v>57832060</v>
      </c>
      <c r="C40" s="9">
        <v>-859721</v>
      </c>
      <c r="D40" s="9">
        <v>56972339</v>
      </c>
      <c r="E40" s="9">
        <v>-5485904</v>
      </c>
      <c r="F40" s="9">
        <v>51486435</v>
      </c>
      <c r="G40" s="105"/>
      <c r="I40" s="9"/>
      <c r="K40" s="32"/>
    </row>
    <row r="41" spans="1:11" x14ac:dyDescent="0.2">
      <c r="B41"/>
      <c r="C41"/>
      <c r="D41"/>
    </row>
    <row r="42" spans="1:11" x14ac:dyDescent="0.2">
      <c r="B42"/>
      <c r="C42"/>
      <c r="D42"/>
    </row>
    <row r="43" spans="1:11" x14ac:dyDescent="0.2">
      <c r="B43"/>
      <c r="C43"/>
      <c r="D43"/>
      <c r="E43" s="33"/>
    </row>
    <row r="44" spans="1:11" x14ac:dyDescent="0.2">
      <c r="B44"/>
      <c r="C44"/>
      <c r="D44"/>
      <c r="G44" s="9"/>
    </row>
    <row r="45" spans="1:11" x14ac:dyDescent="0.2">
      <c r="B45"/>
      <c r="C45"/>
      <c r="D45"/>
    </row>
    <row r="46" spans="1:11" x14ac:dyDescent="0.2">
      <c r="B46"/>
      <c r="C46"/>
      <c r="D46"/>
    </row>
    <row r="47" spans="1:11" x14ac:dyDescent="0.2">
      <c r="B47"/>
      <c r="C47"/>
      <c r="D47"/>
    </row>
    <row r="48" spans="1:11" x14ac:dyDescent="0.2">
      <c r="B48"/>
      <c r="C48"/>
      <c r="D48"/>
    </row>
    <row r="49" spans="2:4" x14ac:dyDescent="0.2">
      <c r="B49"/>
      <c r="C49"/>
      <c r="D49"/>
    </row>
    <row r="50" spans="2:4" x14ac:dyDescent="0.2">
      <c r="B50"/>
      <c r="C50"/>
      <c r="D50"/>
    </row>
    <row r="51" spans="2:4" x14ac:dyDescent="0.2">
      <c r="B51"/>
      <c r="C51"/>
      <c r="D51"/>
    </row>
    <row r="52" spans="2:4" x14ac:dyDescent="0.2">
      <c r="B52"/>
      <c r="C52"/>
      <c r="D52"/>
    </row>
    <row r="53" spans="2:4" x14ac:dyDescent="0.2">
      <c r="B53"/>
      <c r="C53"/>
      <c r="D53"/>
    </row>
    <row r="54" spans="2:4" x14ac:dyDescent="0.2">
      <c r="B54"/>
      <c r="C54"/>
      <c r="D54"/>
    </row>
    <row r="55" spans="2:4" x14ac:dyDescent="0.2">
      <c r="B55"/>
      <c r="C55"/>
      <c r="D55"/>
    </row>
    <row r="56" spans="2:4" x14ac:dyDescent="0.2">
      <c r="B56"/>
      <c r="C56"/>
      <c r="D56"/>
    </row>
    <row r="57" spans="2:4" x14ac:dyDescent="0.2">
      <c r="B57"/>
      <c r="C57"/>
      <c r="D57"/>
    </row>
    <row r="58" spans="2:4" x14ac:dyDescent="0.2">
      <c r="B58"/>
      <c r="C58"/>
      <c r="D58"/>
    </row>
    <row r="59" spans="2:4" x14ac:dyDescent="0.2">
      <c r="B59"/>
      <c r="C59"/>
      <c r="D59"/>
    </row>
    <row r="60" spans="2:4" x14ac:dyDescent="0.2">
      <c r="B60"/>
      <c r="C60"/>
      <c r="D60"/>
    </row>
    <row r="61" spans="2:4" x14ac:dyDescent="0.2">
      <c r="B61"/>
      <c r="C61"/>
      <c r="D61"/>
    </row>
    <row r="62" spans="2:4" x14ac:dyDescent="0.2">
      <c r="B62"/>
      <c r="C62"/>
      <c r="D62"/>
    </row>
    <row r="63" spans="2:4" x14ac:dyDescent="0.2">
      <c r="B63"/>
      <c r="C63"/>
      <c r="D63"/>
    </row>
    <row r="64" spans="2:4" x14ac:dyDescent="0.2">
      <c r="B64"/>
      <c r="C64"/>
      <c r="D64"/>
    </row>
    <row r="65" spans="2:4" x14ac:dyDescent="0.2">
      <c r="B65"/>
      <c r="C65"/>
      <c r="D65"/>
    </row>
    <row r="66" spans="2:4" x14ac:dyDescent="0.2">
      <c r="B66"/>
      <c r="C66"/>
      <c r="D66"/>
    </row>
    <row r="67" spans="2:4" x14ac:dyDescent="0.2">
      <c r="B67"/>
      <c r="C67"/>
      <c r="D67"/>
    </row>
    <row r="68" spans="2:4" x14ac:dyDescent="0.2">
      <c r="B68"/>
      <c r="C68"/>
      <c r="D68"/>
    </row>
    <row r="69" spans="2:4" x14ac:dyDescent="0.2">
      <c r="B69"/>
      <c r="C69"/>
      <c r="D69"/>
    </row>
    <row r="70" spans="2:4" x14ac:dyDescent="0.2">
      <c r="B70"/>
      <c r="C70"/>
      <c r="D70"/>
    </row>
    <row r="71" spans="2:4" x14ac:dyDescent="0.2">
      <c r="B71"/>
      <c r="C71"/>
      <c r="D71"/>
    </row>
    <row r="72" spans="2:4" x14ac:dyDescent="0.2">
      <c r="B72"/>
      <c r="C72"/>
      <c r="D72"/>
    </row>
    <row r="73" spans="2:4" x14ac:dyDescent="0.2">
      <c r="B73"/>
      <c r="C73"/>
      <c r="D73"/>
    </row>
    <row r="74" spans="2:4" x14ac:dyDescent="0.2">
      <c r="B74"/>
      <c r="C74"/>
      <c r="D74"/>
    </row>
    <row r="75" spans="2:4" x14ac:dyDescent="0.2">
      <c r="B75"/>
      <c r="C75"/>
      <c r="D75"/>
    </row>
    <row r="76" spans="2:4" x14ac:dyDescent="0.2">
      <c r="B76"/>
      <c r="C76"/>
      <c r="D76"/>
    </row>
    <row r="77" spans="2:4" x14ac:dyDescent="0.2">
      <c r="B77"/>
      <c r="C77"/>
      <c r="D77"/>
    </row>
    <row r="78" spans="2:4" x14ac:dyDescent="0.2">
      <c r="B78"/>
      <c r="C78"/>
      <c r="D78"/>
    </row>
    <row r="79" spans="2:4" x14ac:dyDescent="0.2">
      <c r="B79"/>
      <c r="C79"/>
      <c r="D79"/>
    </row>
    <row r="80" spans="2:4" x14ac:dyDescent="0.2">
      <c r="B80"/>
      <c r="C80"/>
      <c r="D80"/>
    </row>
    <row r="81" spans="2:4" x14ac:dyDescent="0.2">
      <c r="B81"/>
      <c r="C81"/>
      <c r="D81"/>
    </row>
    <row r="82" spans="2:4" x14ac:dyDescent="0.2">
      <c r="B82"/>
      <c r="C82"/>
      <c r="D82"/>
    </row>
    <row r="83" spans="2:4" x14ac:dyDescent="0.2">
      <c r="B83"/>
      <c r="C83"/>
      <c r="D83"/>
    </row>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c r="D93"/>
    </row>
    <row r="94" spans="2:4" x14ac:dyDescent="0.2">
      <c r="B94"/>
      <c r="C94"/>
      <c r="D94"/>
    </row>
    <row r="95" spans="2:4" x14ac:dyDescent="0.2">
      <c r="B95"/>
      <c r="C95"/>
      <c r="D95"/>
    </row>
    <row r="96" spans="2:4" x14ac:dyDescent="0.2">
      <c r="B96"/>
      <c r="C96"/>
      <c r="D96"/>
    </row>
    <row r="97" spans="2:4" x14ac:dyDescent="0.2">
      <c r="B97"/>
      <c r="C97"/>
      <c r="D97"/>
    </row>
    <row r="98" spans="2:4" x14ac:dyDescent="0.2">
      <c r="B98"/>
      <c r="C98"/>
      <c r="D98"/>
    </row>
    <row r="99" spans="2:4" x14ac:dyDescent="0.2">
      <c r="B99"/>
      <c r="C99"/>
      <c r="D99"/>
    </row>
    <row r="100" spans="2:4" x14ac:dyDescent="0.2">
      <c r="B100"/>
      <c r="C100"/>
      <c r="D100"/>
    </row>
    <row r="101" spans="2:4" x14ac:dyDescent="0.2">
      <c r="B101"/>
      <c r="C101"/>
      <c r="D101"/>
    </row>
    <row r="102" spans="2:4" x14ac:dyDescent="0.2">
      <c r="B102"/>
      <c r="C102"/>
      <c r="D102"/>
    </row>
    <row r="103" spans="2:4" x14ac:dyDescent="0.2">
      <c r="B103"/>
      <c r="C103"/>
      <c r="D103"/>
    </row>
    <row r="104" spans="2:4" x14ac:dyDescent="0.2">
      <c r="B104"/>
      <c r="C104"/>
      <c r="D104"/>
    </row>
    <row r="105" spans="2:4" x14ac:dyDescent="0.2">
      <c r="B105"/>
      <c r="C105"/>
      <c r="D105"/>
    </row>
    <row r="106" spans="2:4" x14ac:dyDescent="0.2">
      <c r="B106"/>
      <c r="C106"/>
      <c r="D106"/>
    </row>
    <row r="107" spans="2:4" x14ac:dyDescent="0.2">
      <c r="B107"/>
      <c r="C107"/>
      <c r="D107"/>
    </row>
    <row r="108" spans="2:4" x14ac:dyDescent="0.2">
      <c r="B108"/>
      <c r="C108"/>
      <c r="D108"/>
    </row>
    <row r="109" spans="2:4" x14ac:dyDescent="0.2">
      <c r="B109"/>
      <c r="C109"/>
      <c r="D109"/>
    </row>
    <row r="110" spans="2:4" x14ac:dyDescent="0.2">
      <c r="B110"/>
      <c r="C110"/>
      <c r="D110"/>
    </row>
    <row r="111" spans="2:4" x14ac:dyDescent="0.2">
      <c r="B111"/>
      <c r="C111"/>
      <c r="D111"/>
    </row>
    <row r="112" spans="2:4" x14ac:dyDescent="0.2">
      <c r="B112"/>
      <c r="C112"/>
      <c r="D112"/>
    </row>
    <row r="113" spans="2:4" x14ac:dyDescent="0.2">
      <c r="B113"/>
      <c r="C113"/>
      <c r="D113"/>
    </row>
    <row r="114" spans="2:4" x14ac:dyDescent="0.2">
      <c r="B114"/>
      <c r="C114"/>
      <c r="D114"/>
    </row>
    <row r="115" spans="2:4" x14ac:dyDescent="0.2">
      <c r="B115"/>
      <c r="C115"/>
      <c r="D115"/>
    </row>
    <row r="116" spans="2:4" x14ac:dyDescent="0.2">
      <c r="B116"/>
      <c r="C116"/>
      <c r="D116"/>
    </row>
    <row r="117" spans="2:4" x14ac:dyDescent="0.2">
      <c r="B117"/>
      <c r="C117"/>
      <c r="D117"/>
    </row>
    <row r="118" spans="2:4" x14ac:dyDescent="0.2">
      <c r="B118"/>
      <c r="C118"/>
      <c r="D118"/>
    </row>
    <row r="119" spans="2:4" x14ac:dyDescent="0.2">
      <c r="B119"/>
      <c r="C119"/>
      <c r="D119"/>
    </row>
    <row r="120" spans="2:4" x14ac:dyDescent="0.2">
      <c r="B120"/>
      <c r="C120"/>
      <c r="D120"/>
    </row>
    <row r="121" spans="2:4" x14ac:dyDescent="0.2">
      <c r="B121"/>
      <c r="C121"/>
      <c r="D121"/>
    </row>
    <row r="122" spans="2:4" x14ac:dyDescent="0.2">
      <c r="B122"/>
      <c r="C122"/>
      <c r="D122"/>
    </row>
    <row r="123" spans="2:4" x14ac:dyDescent="0.2">
      <c r="B123"/>
      <c r="C123"/>
      <c r="D123"/>
    </row>
    <row r="124" spans="2:4" x14ac:dyDescent="0.2">
      <c r="B124"/>
      <c r="C124"/>
      <c r="D124"/>
    </row>
    <row r="125" spans="2:4" x14ac:dyDescent="0.2">
      <c r="B125"/>
      <c r="C125"/>
      <c r="D125"/>
    </row>
    <row r="126" spans="2:4" x14ac:dyDescent="0.2">
      <c r="B126"/>
      <c r="C126"/>
      <c r="D126"/>
    </row>
    <row r="127" spans="2:4" x14ac:dyDescent="0.2">
      <c r="B127"/>
      <c r="C127"/>
      <c r="D127"/>
    </row>
    <row r="128" spans="2:4" x14ac:dyDescent="0.2">
      <c r="B128"/>
      <c r="C128"/>
      <c r="D128"/>
    </row>
    <row r="129" spans="2:4" x14ac:dyDescent="0.2">
      <c r="B129"/>
      <c r="C129"/>
      <c r="D129"/>
    </row>
    <row r="130" spans="2:4" x14ac:dyDescent="0.2">
      <c r="B130"/>
      <c r="C130"/>
      <c r="D130"/>
    </row>
    <row r="131" spans="2:4" x14ac:dyDescent="0.2">
      <c r="B131"/>
      <c r="C131"/>
      <c r="D131"/>
    </row>
    <row r="132" spans="2:4" x14ac:dyDescent="0.2">
      <c r="B132"/>
      <c r="C132"/>
      <c r="D132"/>
    </row>
    <row r="133" spans="2:4" x14ac:dyDescent="0.2">
      <c r="B133"/>
      <c r="C133"/>
      <c r="D133"/>
    </row>
    <row r="134" spans="2:4" x14ac:dyDescent="0.2">
      <c r="B134"/>
      <c r="C134"/>
      <c r="D134"/>
    </row>
    <row r="135" spans="2:4" x14ac:dyDescent="0.2">
      <c r="B135"/>
      <c r="C135"/>
      <c r="D135"/>
    </row>
    <row r="136" spans="2:4" x14ac:dyDescent="0.2">
      <c r="B136"/>
      <c r="C136"/>
      <c r="D136"/>
    </row>
    <row r="137" spans="2:4" x14ac:dyDescent="0.2">
      <c r="B137"/>
      <c r="C137"/>
      <c r="D137"/>
    </row>
    <row r="138" spans="2:4" x14ac:dyDescent="0.2">
      <c r="B138"/>
      <c r="C138"/>
      <c r="D138"/>
    </row>
    <row r="139" spans="2:4" x14ac:dyDescent="0.2">
      <c r="B139"/>
      <c r="C139"/>
      <c r="D139"/>
    </row>
    <row r="140" spans="2:4" x14ac:dyDescent="0.2">
      <c r="B140"/>
      <c r="C140"/>
      <c r="D140"/>
    </row>
    <row r="141" spans="2:4" x14ac:dyDescent="0.2">
      <c r="B141"/>
      <c r="C141"/>
      <c r="D141"/>
    </row>
    <row r="142" spans="2:4" x14ac:dyDescent="0.2">
      <c r="B142"/>
      <c r="C142"/>
      <c r="D142"/>
    </row>
    <row r="143" spans="2:4" x14ac:dyDescent="0.2">
      <c r="B143"/>
      <c r="C143"/>
      <c r="D143"/>
    </row>
    <row r="144" spans="2:4" x14ac:dyDescent="0.2">
      <c r="B144"/>
      <c r="C144"/>
      <c r="D144"/>
    </row>
    <row r="145" spans="2:4" x14ac:dyDescent="0.2">
      <c r="B145"/>
      <c r="C145"/>
      <c r="D145"/>
    </row>
    <row r="146" spans="2:4" x14ac:dyDescent="0.2">
      <c r="B146"/>
      <c r="C146"/>
      <c r="D146"/>
    </row>
    <row r="147" spans="2:4" x14ac:dyDescent="0.2">
      <c r="B147"/>
      <c r="C147"/>
      <c r="D147"/>
    </row>
    <row r="148" spans="2:4" x14ac:dyDescent="0.2">
      <c r="B148"/>
      <c r="C148"/>
      <c r="D148"/>
    </row>
    <row r="149" spans="2:4" x14ac:dyDescent="0.2">
      <c r="B149"/>
      <c r="C149"/>
      <c r="D149"/>
    </row>
    <row r="150" spans="2:4" x14ac:dyDescent="0.2">
      <c r="B150"/>
      <c r="C150"/>
      <c r="D150"/>
    </row>
    <row r="151" spans="2:4" x14ac:dyDescent="0.2">
      <c r="B151"/>
      <c r="C151"/>
      <c r="D151"/>
    </row>
    <row r="152" spans="2:4" x14ac:dyDescent="0.2">
      <c r="B152"/>
      <c r="C152"/>
      <c r="D152"/>
    </row>
    <row r="153" spans="2:4" x14ac:dyDescent="0.2">
      <c r="B153"/>
      <c r="C153"/>
      <c r="D153"/>
    </row>
    <row r="154" spans="2:4" x14ac:dyDescent="0.2">
      <c r="B154"/>
      <c r="C154"/>
      <c r="D154"/>
    </row>
    <row r="155" spans="2:4" x14ac:dyDescent="0.2">
      <c r="B155"/>
      <c r="C155"/>
      <c r="D155"/>
    </row>
    <row r="156" spans="2:4" x14ac:dyDescent="0.2">
      <c r="B156"/>
      <c r="C156"/>
      <c r="D156"/>
    </row>
    <row r="157" spans="2:4" x14ac:dyDescent="0.2">
      <c r="B157"/>
      <c r="C157"/>
      <c r="D157"/>
    </row>
    <row r="158" spans="2:4" x14ac:dyDescent="0.2">
      <c r="B158"/>
      <c r="C158"/>
      <c r="D158"/>
    </row>
    <row r="159" spans="2:4" x14ac:dyDescent="0.2">
      <c r="B159"/>
      <c r="C159"/>
      <c r="D159"/>
    </row>
    <row r="160" spans="2:4" x14ac:dyDescent="0.2">
      <c r="B160"/>
      <c r="C160"/>
      <c r="D160"/>
    </row>
    <row r="161" spans="2:4" x14ac:dyDescent="0.2">
      <c r="B161"/>
      <c r="C161"/>
      <c r="D161"/>
    </row>
    <row r="162" spans="2:4" x14ac:dyDescent="0.2">
      <c r="B162"/>
      <c r="C162"/>
      <c r="D162"/>
    </row>
    <row r="163" spans="2:4" x14ac:dyDescent="0.2">
      <c r="B163"/>
      <c r="C163"/>
      <c r="D163"/>
    </row>
    <row r="164" spans="2:4" x14ac:dyDescent="0.2">
      <c r="B164"/>
      <c r="C164"/>
      <c r="D164"/>
    </row>
    <row r="165" spans="2:4" x14ac:dyDescent="0.2">
      <c r="B165"/>
      <c r="C165"/>
      <c r="D165"/>
    </row>
    <row r="166" spans="2:4" x14ac:dyDescent="0.2">
      <c r="B166"/>
      <c r="C166"/>
      <c r="D166"/>
    </row>
    <row r="167" spans="2:4" x14ac:dyDescent="0.2">
      <c r="B167"/>
      <c r="C167"/>
      <c r="D167"/>
    </row>
    <row r="168" spans="2:4" x14ac:dyDescent="0.2">
      <c r="B168"/>
      <c r="C168"/>
      <c r="D168"/>
    </row>
    <row r="169" spans="2:4" x14ac:dyDescent="0.2">
      <c r="B169"/>
      <c r="C169"/>
      <c r="D169"/>
    </row>
    <row r="170" spans="2:4" x14ac:dyDescent="0.2">
      <c r="B170"/>
      <c r="C170"/>
      <c r="D170"/>
    </row>
    <row r="171" spans="2:4" x14ac:dyDescent="0.2">
      <c r="B171"/>
      <c r="C171"/>
      <c r="D171"/>
    </row>
    <row r="172" spans="2:4" x14ac:dyDescent="0.2">
      <c r="B172"/>
      <c r="C172"/>
      <c r="D172"/>
    </row>
    <row r="173" spans="2:4" x14ac:dyDescent="0.2">
      <c r="B173"/>
      <c r="C173"/>
      <c r="D173"/>
    </row>
    <row r="174" spans="2:4" x14ac:dyDescent="0.2">
      <c r="B174"/>
      <c r="C174"/>
      <c r="D174"/>
    </row>
    <row r="175" spans="2:4" x14ac:dyDescent="0.2">
      <c r="B175"/>
      <c r="C175"/>
      <c r="D175"/>
    </row>
    <row r="176" spans="2:4" x14ac:dyDescent="0.2">
      <c r="B176"/>
      <c r="C176"/>
      <c r="D176"/>
    </row>
    <row r="177" spans="2:4" x14ac:dyDescent="0.2">
      <c r="B177"/>
      <c r="C177"/>
      <c r="D177"/>
    </row>
    <row r="178" spans="2:4" x14ac:dyDescent="0.2">
      <c r="B178"/>
      <c r="C178"/>
      <c r="D178"/>
    </row>
    <row r="179" spans="2:4" x14ac:dyDescent="0.2">
      <c r="B179"/>
      <c r="C179"/>
      <c r="D179"/>
    </row>
    <row r="180" spans="2:4" x14ac:dyDescent="0.2">
      <c r="B180"/>
      <c r="C180"/>
      <c r="D180"/>
    </row>
  </sheetData>
  <mergeCells count="1">
    <mergeCell ref="A1:F1"/>
  </mergeCells>
  <pageMargins left="0.2" right="0.2" top="0.5" bottom="0.5" header="0.3" footer="0.3"/>
  <pageSetup orientation="portrait" r:id="rId2"/>
  <headerFooter>
    <oddFooter>&amp;R&amp;D &amp;T</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10"/>
  <sheetViews>
    <sheetView workbookViewId="0">
      <pane xSplit="1" ySplit="1" topLeftCell="J86" activePane="bottomRight" state="frozenSplit"/>
      <selection pane="topRight" activeCell="J1" sqref="J1"/>
      <selection pane="bottomLeft" activeCell="A15" sqref="A15"/>
      <selection pane="bottomRight" activeCell="U107" sqref="U107"/>
    </sheetView>
  </sheetViews>
  <sheetFormatPr defaultRowHeight="12.75" x14ac:dyDescent="0.2"/>
  <cols>
    <col min="1" max="1" width="9.28515625" customWidth="1"/>
    <col min="2" max="2" width="8.28515625" bestFit="1" customWidth="1"/>
    <col min="3" max="4" width="5.28515625" customWidth="1"/>
    <col min="5" max="5" width="11" customWidth="1"/>
    <col min="6" max="7" width="10.7109375" customWidth="1"/>
    <col min="8" max="9" width="10.7109375" style="32" customWidth="1"/>
    <col min="10" max="11" width="10.7109375" customWidth="1"/>
    <col min="12" max="12" width="12.28515625" bestFit="1" customWidth="1"/>
    <col min="13" max="14" width="12.28515625" style="32" bestFit="1" customWidth="1"/>
    <col min="15" max="15" width="11.7109375" customWidth="1"/>
    <col min="16" max="16" width="11.7109375" style="32" customWidth="1"/>
    <col min="17" max="17" width="15.28515625" style="32" customWidth="1"/>
    <col min="18" max="18" width="14.28515625" bestFit="1" customWidth="1"/>
    <col min="19" max="19" width="15.28515625" customWidth="1"/>
    <col min="20" max="21" width="15.28515625" style="32" customWidth="1"/>
    <col min="22" max="23" width="14.7109375" style="32" customWidth="1"/>
    <col min="24" max="24" width="13.7109375" bestFit="1" customWidth="1"/>
    <col min="25" max="25" width="17.28515625" customWidth="1"/>
  </cols>
  <sheetData>
    <row r="1" spans="1:24" ht="39" thickBot="1" x14ac:dyDescent="0.25">
      <c r="A1" s="106" t="s">
        <v>394</v>
      </c>
      <c r="B1" s="106" t="s">
        <v>337</v>
      </c>
      <c r="C1" s="41" t="s">
        <v>147</v>
      </c>
      <c r="D1" s="41" t="s">
        <v>150</v>
      </c>
      <c r="E1" s="42" t="s">
        <v>422</v>
      </c>
      <c r="F1" s="42" t="s">
        <v>441</v>
      </c>
      <c r="G1" s="42" t="s">
        <v>459</v>
      </c>
      <c r="H1" s="42" t="s">
        <v>485</v>
      </c>
      <c r="I1" s="42" t="s">
        <v>531</v>
      </c>
      <c r="J1" s="43" t="s">
        <v>423</v>
      </c>
      <c r="K1" s="43" t="s">
        <v>442</v>
      </c>
      <c r="L1" s="43" t="s">
        <v>460</v>
      </c>
      <c r="M1" s="43" t="s">
        <v>486</v>
      </c>
      <c r="N1" s="43" t="s">
        <v>532</v>
      </c>
      <c r="O1" s="44" t="s">
        <v>396</v>
      </c>
      <c r="P1" s="44" t="s">
        <v>395</v>
      </c>
      <c r="Q1" s="58" t="s">
        <v>462</v>
      </c>
      <c r="R1" s="58" t="s">
        <v>533</v>
      </c>
      <c r="S1" s="58" t="s">
        <v>534</v>
      </c>
      <c r="T1" s="58" t="s">
        <v>489</v>
      </c>
      <c r="U1" s="58" t="s">
        <v>403</v>
      </c>
      <c r="V1" s="153" t="s">
        <v>535</v>
      </c>
      <c r="W1" s="58" t="s">
        <v>536</v>
      </c>
    </row>
    <row r="2" spans="1:24" x14ac:dyDescent="0.2">
      <c r="A2" s="32" t="s">
        <v>161</v>
      </c>
      <c r="B2" s="36" t="str">
        <f t="shared" ref="B2:B35" si="0">VLOOKUP(A2,Crosswalk,2,FALSE)</f>
        <v>100-AT</v>
      </c>
      <c r="C2" s="36" t="str">
        <f t="shared" ref="C2:C32" si="1">CONCATENATE((LEFT(B2,3))," - ",(VLOOKUP((LEFT(B2,3)),Funds,2,FALSE)))</f>
        <v>100 - General Fund</v>
      </c>
      <c r="D2" s="36" t="str">
        <f t="shared" ref="D2:D32" si="2">VLOOKUP((RIGHT(B2,2)),Bureaus,2,FALSE)</f>
        <v>Office of the City Attorney</v>
      </c>
      <c r="E2" s="38">
        <f t="shared" ref="E2:E33" si="3">IF($B2="Excluded",0,(IF(ISNA(VLOOKUP($A2,FY2013_14,10,FALSE)),0,(VLOOKUP($A2,FY2013_14,10,FALSE)))))</f>
        <v>0</v>
      </c>
      <c r="F2" s="38">
        <f t="shared" ref="F2:F33" si="4">IF($B2="Excluded",0,(IF(ISNA(VLOOKUP($A2,FY2014_15,10,FALSE)),0,(VLOOKUP($A2,FY2014_15,10,FALSE)))))</f>
        <v>0</v>
      </c>
      <c r="G2" s="38">
        <f t="shared" ref="G2:G33" si="5">IF($B2="Excluded",0,(IF(ISNA(VLOOKUP($A2,FY2015_16,10,FALSE)),0,(VLOOKUP($A2,FY2015_16,10,FALSE)))))</f>
        <v>0</v>
      </c>
      <c r="H2" s="38">
        <f t="shared" ref="H2:H65" si="6">IF($B2="Excluded",0,(IF(ISNA(VLOOKUP($A2,FY2016_17,10,FALSE)),0,(VLOOKUP($A2,FY2016_17,10,FALSE)))))</f>
        <v>0</v>
      </c>
      <c r="I2" s="38">
        <f t="shared" ref="I2:I33" si="7">IF($B2="Excluded",0,(IF(ISNA(VLOOKUP($A2,FY2017_18,10,FALSE)),0,(VLOOKUP($A2,FY2017_18,10,FALSE)))))</f>
        <v>0</v>
      </c>
      <c r="J2" s="37">
        <f t="shared" ref="J2:J32" si="8">IF($B2="Excluded",0,(IF(ISNA(VLOOKUP($A2,FY2013_14P,6,FALSE)),0,(VLOOKUP($A2,FY2013_14P,6,FALSE)))))</f>
        <v>0</v>
      </c>
      <c r="K2" s="37">
        <f t="shared" ref="K2:K32" si="9">IF($B2="Excluded",0,(IF(ISNA(VLOOKUP($A2,FY2014_15P,6,FALSE)),0,(VLOOKUP($A2,FY2014_15P,6,FALSE)))))</f>
        <v>0</v>
      </c>
      <c r="L2" s="37">
        <f t="shared" ref="L2:L33" si="10">IF($B2="Excluded",0,(IF(ISNA(VLOOKUP($A2,FY2015_16P,6,FALSE)),0,(VLOOKUP($A2,FY2015_16P,6,FALSE)))))</f>
        <v>0</v>
      </c>
      <c r="M2" s="37">
        <f t="shared" ref="M2:M33" si="11">IF($B2="Excluded",0,(IF(ISNA(VLOOKUP($A2,FY2016_17P,6,FALSE)),0,(VLOOKUP($A2,FY2016_17P,6,FALSE)))))</f>
        <v>0</v>
      </c>
      <c r="N2" s="37">
        <f t="shared" ref="N2:N33" si="12">IF($B2="Excluded",0,(IF(ISNA(VLOOKUP($A2,FY2017_18P,6,FALSE)),0,(VLOOKUP($A2,FY2017_18P,6,FALSE)))))</f>
        <v>0</v>
      </c>
      <c r="O2" s="39">
        <f t="shared" ref="O2:O65" si="13">(AVERAGE(G2:I2)*0.75)+(AVERAGE(L2:N2)*0.25)</f>
        <v>0</v>
      </c>
      <c r="P2" s="39">
        <f>(AVERAGE(E2:G2)*0.75)+(AVERAGE(J2:L2)*0.25)</f>
        <v>0</v>
      </c>
      <c r="Q2" s="59">
        <v>0</v>
      </c>
      <c r="R2" s="59">
        <f>S2-Q2</f>
        <v>0</v>
      </c>
      <c r="S2" s="59">
        <f>ROUND((P2*'Cost Pool'!$C$27),0)</f>
        <v>0</v>
      </c>
      <c r="T2" s="59">
        <v>0</v>
      </c>
      <c r="U2" s="59">
        <f>V2-T2</f>
        <v>0</v>
      </c>
      <c r="V2" s="59">
        <f>ROUND((O2*'Cost Pool'!$E$27),0)</f>
        <v>0</v>
      </c>
      <c r="W2" s="59">
        <f>V2+R2</f>
        <v>0</v>
      </c>
      <c r="X2" s="108"/>
    </row>
    <row r="3" spans="1:24" x14ac:dyDescent="0.2">
      <c r="A3" s="32" t="s">
        <v>162</v>
      </c>
      <c r="B3" s="36" t="str">
        <f t="shared" si="0"/>
        <v>100-AU</v>
      </c>
      <c r="C3" s="36" t="str">
        <f t="shared" si="1"/>
        <v>100 - General Fund</v>
      </c>
      <c r="D3" s="36" t="str">
        <f t="shared" si="2"/>
        <v>Office of the City Auditor</v>
      </c>
      <c r="E3" s="38">
        <f t="shared" si="3"/>
        <v>0</v>
      </c>
      <c r="F3" s="38">
        <f t="shared" si="4"/>
        <v>0</v>
      </c>
      <c r="G3" s="38">
        <f t="shared" si="5"/>
        <v>0</v>
      </c>
      <c r="H3" s="38">
        <f t="shared" si="6"/>
        <v>1.6639485264256224E-3</v>
      </c>
      <c r="I3" s="38">
        <f t="shared" si="7"/>
        <v>1.5930777672070202E-3</v>
      </c>
      <c r="J3" s="37">
        <f t="shared" si="8"/>
        <v>0</v>
      </c>
      <c r="K3" s="37">
        <f t="shared" si="9"/>
        <v>0</v>
      </c>
      <c r="L3" s="37">
        <f t="shared" si="10"/>
        <v>0</v>
      </c>
      <c r="M3" s="37">
        <f t="shared" si="11"/>
        <v>1.6047135889153451E-3</v>
      </c>
      <c r="N3" s="37">
        <f t="shared" si="12"/>
        <v>1.7482729976272681E-3</v>
      </c>
      <c r="O3" s="39">
        <f t="shared" si="13"/>
        <v>1.093672122286712E-3</v>
      </c>
      <c r="P3" s="39">
        <f>(AVERAGE(E3:G3)*0.75)+(AVERAGE(J3:L3)*0.25)</f>
        <v>0</v>
      </c>
      <c r="Q3" s="59">
        <v>0</v>
      </c>
      <c r="R3" s="59">
        <f t="shared" ref="R3:R75" si="14">S3-Q3</f>
        <v>0</v>
      </c>
      <c r="S3" s="59">
        <f>ROUND((P3*'Cost Pool'!$C$27),0)</f>
        <v>0</v>
      </c>
      <c r="T3" s="59">
        <v>31747</v>
      </c>
      <c r="U3" s="59">
        <f t="shared" ref="U3:U66" si="15">V3-T3</f>
        <v>30425</v>
      </c>
      <c r="V3" s="59">
        <f>ROUND((O3*'Cost Pool'!$E$27),0)</f>
        <v>62172</v>
      </c>
      <c r="W3" s="59">
        <f t="shared" ref="W3:W76" si="16">V3+R3</f>
        <v>62172</v>
      </c>
      <c r="X3" s="108"/>
    </row>
    <row r="4" spans="1:24" s="32" customFormat="1" x14ac:dyDescent="0.2">
      <c r="A4" s="32" t="s">
        <v>342</v>
      </c>
      <c r="B4" s="36" t="str">
        <f t="shared" si="0"/>
        <v>100-BO</v>
      </c>
      <c r="C4" s="36" t="str">
        <f t="shared" si="1"/>
        <v>100 - General Fund</v>
      </c>
      <c r="D4" s="36" t="str">
        <f t="shared" si="2"/>
        <v>City Budget Office</v>
      </c>
      <c r="E4" s="38">
        <f t="shared" si="3"/>
        <v>0</v>
      </c>
      <c r="F4" s="38">
        <f t="shared" si="4"/>
        <v>0</v>
      </c>
      <c r="G4" s="38">
        <f t="shared" si="5"/>
        <v>0</v>
      </c>
      <c r="H4" s="38">
        <f t="shared" si="6"/>
        <v>0</v>
      </c>
      <c r="I4" s="38">
        <f t="shared" si="7"/>
        <v>0</v>
      </c>
      <c r="J4" s="37">
        <f t="shared" si="8"/>
        <v>0</v>
      </c>
      <c r="K4" s="37">
        <f t="shared" si="9"/>
        <v>0</v>
      </c>
      <c r="L4" s="37">
        <f t="shared" si="10"/>
        <v>0</v>
      </c>
      <c r="M4" s="37">
        <f t="shared" si="11"/>
        <v>0</v>
      </c>
      <c r="N4" s="37">
        <f t="shared" si="12"/>
        <v>0</v>
      </c>
      <c r="O4" s="39">
        <f t="shared" si="13"/>
        <v>0</v>
      </c>
      <c r="P4" s="39">
        <f t="shared" ref="P4:P77" si="17">(AVERAGE(E4:G4)*0.75)+(AVERAGE(J4:L4)*0.25)</f>
        <v>0</v>
      </c>
      <c r="Q4" s="59">
        <v>0</v>
      </c>
      <c r="R4" s="59">
        <f t="shared" si="14"/>
        <v>0</v>
      </c>
      <c r="S4" s="59">
        <f>ROUND((P4*'Cost Pool'!$C$27),0)</f>
        <v>0</v>
      </c>
      <c r="T4" s="59">
        <v>0</v>
      </c>
      <c r="U4" s="59">
        <f t="shared" si="15"/>
        <v>0</v>
      </c>
      <c r="V4" s="59">
        <f>ROUND((O4*'Cost Pool'!$E$27),0)</f>
        <v>0</v>
      </c>
      <c r="W4" s="59">
        <f t="shared" si="16"/>
        <v>0</v>
      </c>
      <c r="X4" s="108"/>
    </row>
    <row r="5" spans="1:24" x14ac:dyDescent="0.2">
      <c r="A5" s="32" t="s">
        <v>156</v>
      </c>
      <c r="B5" s="36" t="str">
        <f t="shared" si="0"/>
        <v>100-MF</v>
      </c>
      <c r="C5" s="36" t="str">
        <f t="shared" si="1"/>
        <v>100 - General Fund</v>
      </c>
      <c r="D5" s="36" t="str">
        <f t="shared" si="2"/>
        <v>Office of Management &amp; Finance</v>
      </c>
      <c r="E5" s="38">
        <f t="shared" si="3"/>
        <v>0</v>
      </c>
      <c r="F5" s="38">
        <f t="shared" si="4"/>
        <v>0</v>
      </c>
      <c r="G5" s="38">
        <f t="shared" si="5"/>
        <v>0</v>
      </c>
      <c r="H5" s="38">
        <f t="shared" si="6"/>
        <v>0</v>
      </c>
      <c r="I5" s="38">
        <f t="shared" si="7"/>
        <v>0</v>
      </c>
      <c r="J5" s="37">
        <f t="shared" si="8"/>
        <v>0</v>
      </c>
      <c r="K5" s="37">
        <f t="shared" si="9"/>
        <v>0</v>
      </c>
      <c r="L5" s="37">
        <f t="shared" si="10"/>
        <v>0</v>
      </c>
      <c r="M5" s="37">
        <f t="shared" si="11"/>
        <v>0</v>
      </c>
      <c r="N5" s="37">
        <f t="shared" si="12"/>
        <v>0</v>
      </c>
      <c r="O5" s="39">
        <f>(AVERAGE(G5:I5)*0.75)+(AVERAGE(L5:N5)*0.25)</f>
        <v>0</v>
      </c>
      <c r="P5" s="39">
        <f t="shared" si="17"/>
        <v>0</v>
      </c>
      <c r="Q5" s="59">
        <v>0</v>
      </c>
      <c r="R5" s="59">
        <f>S5-Q5</f>
        <v>0</v>
      </c>
      <c r="S5" s="59">
        <f>ROUND((P5*'Cost Pool'!$C$27),0)</f>
        <v>0</v>
      </c>
      <c r="T5" s="59">
        <v>0</v>
      </c>
      <c r="U5" s="59">
        <f t="shared" si="15"/>
        <v>0</v>
      </c>
      <c r="V5" s="59">
        <f>ROUND((O5*'Cost Pool'!$E$27),0)</f>
        <v>0</v>
      </c>
      <c r="W5" s="59">
        <f t="shared" si="16"/>
        <v>0</v>
      </c>
      <c r="X5" s="108"/>
    </row>
    <row r="6" spans="1:24" x14ac:dyDescent="0.2">
      <c r="A6" s="32" t="s">
        <v>164</v>
      </c>
      <c r="B6" s="36" t="str">
        <f t="shared" si="0"/>
        <v>100-EM</v>
      </c>
      <c r="C6" s="36" t="str">
        <f t="shared" si="1"/>
        <v>100 - General Fund</v>
      </c>
      <c r="D6" s="36" t="str">
        <f t="shared" si="2"/>
        <v>Portland Bureau of Emergency Management</v>
      </c>
      <c r="E6" s="38">
        <f t="shared" si="3"/>
        <v>0</v>
      </c>
      <c r="F6" s="38">
        <f t="shared" si="4"/>
        <v>0</v>
      </c>
      <c r="G6" s="38">
        <f t="shared" si="5"/>
        <v>0</v>
      </c>
      <c r="H6" s="38">
        <f t="shared" si="6"/>
        <v>0</v>
      </c>
      <c r="I6" s="38">
        <f t="shared" si="7"/>
        <v>0</v>
      </c>
      <c r="J6" s="37">
        <f t="shared" si="8"/>
        <v>0</v>
      </c>
      <c r="K6" s="37">
        <f t="shared" si="9"/>
        <v>0</v>
      </c>
      <c r="L6" s="37">
        <f t="shared" si="10"/>
        <v>0</v>
      </c>
      <c r="M6" s="37">
        <f t="shared" si="11"/>
        <v>0</v>
      </c>
      <c r="N6" s="37">
        <f t="shared" si="12"/>
        <v>0</v>
      </c>
      <c r="O6" s="39">
        <f t="shared" si="13"/>
        <v>0</v>
      </c>
      <c r="P6" s="39">
        <f t="shared" si="17"/>
        <v>0</v>
      </c>
      <c r="Q6" s="59">
        <v>0</v>
      </c>
      <c r="R6" s="59">
        <f t="shared" si="14"/>
        <v>0</v>
      </c>
      <c r="S6" s="59">
        <f>ROUND((P6*'Cost Pool'!$C$27),0)</f>
        <v>0</v>
      </c>
      <c r="T6" s="59">
        <v>0</v>
      </c>
      <c r="U6" s="59">
        <f t="shared" si="15"/>
        <v>0</v>
      </c>
      <c r="V6" s="59">
        <f>ROUND((O6*'Cost Pool'!$E$27),0)</f>
        <v>0</v>
      </c>
      <c r="W6" s="59">
        <f t="shared" si="16"/>
        <v>0</v>
      </c>
      <c r="X6" s="108"/>
    </row>
    <row r="7" spans="1:24" s="32" customFormat="1" x14ac:dyDescent="0.2">
      <c r="A7" s="32" t="s">
        <v>399</v>
      </c>
      <c r="B7" s="36" t="str">
        <f t="shared" si="0"/>
        <v>Excluded</v>
      </c>
      <c r="C7" s="36" t="e">
        <f t="shared" si="1"/>
        <v>#N/A</v>
      </c>
      <c r="D7" s="36" t="e">
        <f t="shared" si="2"/>
        <v>#N/A</v>
      </c>
      <c r="E7" s="38">
        <f t="shared" si="3"/>
        <v>0</v>
      </c>
      <c r="F7" s="38">
        <f t="shared" si="4"/>
        <v>0</v>
      </c>
      <c r="G7" s="38">
        <f t="shared" si="5"/>
        <v>0</v>
      </c>
      <c r="H7" s="38">
        <f t="shared" si="6"/>
        <v>0</v>
      </c>
      <c r="I7" s="38">
        <f t="shared" si="7"/>
        <v>0</v>
      </c>
      <c r="J7" s="37">
        <f t="shared" si="8"/>
        <v>0</v>
      </c>
      <c r="K7" s="37">
        <f t="shared" si="9"/>
        <v>0</v>
      </c>
      <c r="L7" s="37">
        <f t="shared" si="10"/>
        <v>0</v>
      </c>
      <c r="M7" s="37">
        <f t="shared" si="11"/>
        <v>0</v>
      </c>
      <c r="N7" s="37">
        <f t="shared" si="12"/>
        <v>0</v>
      </c>
      <c r="O7" s="39">
        <f t="shared" si="13"/>
        <v>0</v>
      </c>
      <c r="P7" s="39">
        <f t="shared" ref="P7" si="18">(AVERAGE(E7:G7)*0.75)+(AVERAGE(J7:L7)*0.25)</f>
        <v>0</v>
      </c>
      <c r="Q7" s="59">
        <v>0</v>
      </c>
      <c r="R7" s="59">
        <f t="shared" ref="R7" si="19">S7-Q7</f>
        <v>0</v>
      </c>
      <c r="S7" s="59">
        <f>ROUND((P7*'Cost Pool'!$C$27),0)</f>
        <v>0</v>
      </c>
      <c r="T7" s="59">
        <v>0</v>
      </c>
      <c r="U7" s="59">
        <f t="shared" si="15"/>
        <v>0</v>
      </c>
      <c r="V7" s="59">
        <f>ROUND((O7*'Cost Pool'!$E$27),0)</f>
        <v>0</v>
      </c>
      <c r="W7" s="59">
        <f t="shared" ref="W7" si="20">V7+R7</f>
        <v>0</v>
      </c>
      <c r="X7" s="108"/>
    </row>
    <row r="8" spans="1:24" x14ac:dyDescent="0.2">
      <c r="A8" s="32" t="s">
        <v>165</v>
      </c>
      <c r="B8" s="36" t="str">
        <f t="shared" si="0"/>
        <v>100-FR</v>
      </c>
      <c r="C8" s="36" t="str">
        <f t="shared" si="1"/>
        <v>100 - General Fund</v>
      </c>
      <c r="D8" s="36" t="str">
        <f t="shared" si="2"/>
        <v>Portland Fire &amp; Rescue</v>
      </c>
      <c r="E8" s="38">
        <f t="shared" si="3"/>
        <v>9.8472614525233579E-2</v>
      </c>
      <c r="F8" s="38">
        <f t="shared" si="4"/>
        <v>0.10301412111742106</v>
      </c>
      <c r="G8" s="38">
        <f t="shared" si="5"/>
        <v>0.10969923739835177</v>
      </c>
      <c r="H8" s="38">
        <f t="shared" si="6"/>
        <v>0.10210891476784618</v>
      </c>
      <c r="I8" s="38">
        <f t="shared" si="7"/>
        <v>0.10106577242798186</v>
      </c>
      <c r="J8" s="37">
        <f t="shared" si="8"/>
        <v>9.4954275514055775E-2</v>
      </c>
      <c r="K8" s="37">
        <f t="shared" si="9"/>
        <v>0.10007757737722206</v>
      </c>
      <c r="L8" s="37">
        <f t="shared" si="10"/>
        <v>9.1637973195275335E-2</v>
      </c>
      <c r="M8" s="37">
        <f t="shared" si="11"/>
        <v>8.4820575414096808E-2</v>
      </c>
      <c r="N8" s="37">
        <f t="shared" si="12"/>
        <v>7.6615493131312634E-2</v>
      </c>
      <c r="O8" s="39">
        <f t="shared" si="13"/>
        <v>9.9307984626935367E-2</v>
      </c>
      <c r="P8" s="39">
        <f>(AVERAGE(E8:G8)*0.75)+(AVERAGE(J8:L8)*0.25)</f>
        <v>0.10168564543413103</v>
      </c>
      <c r="Q8" s="59">
        <v>5588151</v>
      </c>
      <c r="R8" s="59">
        <f t="shared" si="14"/>
        <v>-557971</v>
      </c>
      <c r="S8" s="59">
        <f>ROUND((P8*'Cost Pool'!$C$27),0)</f>
        <v>5030180</v>
      </c>
      <c r="T8" s="59">
        <v>5870755</v>
      </c>
      <c r="U8" s="59">
        <f t="shared" si="15"/>
        <v>-225360</v>
      </c>
      <c r="V8" s="59">
        <f>ROUND((O8*'Cost Pool'!$E$27),0)</f>
        <v>5645395</v>
      </c>
      <c r="W8" s="59">
        <f t="shared" si="16"/>
        <v>5087424</v>
      </c>
      <c r="X8" s="108"/>
    </row>
    <row r="9" spans="1:24" x14ac:dyDescent="0.2">
      <c r="A9" s="32" t="s">
        <v>157</v>
      </c>
      <c r="B9" s="36" t="str">
        <f t="shared" si="0"/>
        <v>100-GR</v>
      </c>
      <c r="C9" s="36" t="str">
        <f t="shared" si="1"/>
        <v>100 - General Fund</v>
      </c>
      <c r="D9" s="36" t="str">
        <f t="shared" si="2"/>
        <v>Office of Government Relations</v>
      </c>
      <c r="E9" s="38">
        <f t="shared" si="3"/>
        <v>0</v>
      </c>
      <c r="F9" s="38">
        <f t="shared" si="4"/>
        <v>0</v>
      </c>
      <c r="G9" s="38">
        <f t="shared" si="5"/>
        <v>0</v>
      </c>
      <c r="H9" s="38">
        <f t="shared" si="6"/>
        <v>0</v>
      </c>
      <c r="I9" s="38">
        <f t="shared" si="7"/>
        <v>0</v>
      </c>
      <c r="J9" s="37">
        <f t="shared" si="8"/>
        <v>0</v>
      </c>
      <c r="K9" s="37">
        <f t="shared" si="9"/>
        <v>0</v>
      </c>
      <c r="L9" s="37">
        <f t="shared" si="10"/>
        <v>0</v>
      </c>
      <c r="M9" s="37">
        <f t="shared" si="11"/>
        <v>0</v>
      </c>
      <c r="N9" s="37">
        <f t="shared" si="12"/>
        <v>0</v>
      </c>
      <c r="O9" s="39">
        <f t="shared" si="13"/>
        <v>0</v>
      </c>
      <c r="P9" s="39">
        <f t="shared" si="17"/>
        <v>0</v>
      </c>
      <c r="Q9" s="59">
        <v>0</v>
      </c>
      <c r="R9" s="59">
        <f t="shared" si="14"/>
        <v>0</v>
      </c>
      <c r="S9" s="59">
        <f>ROUND((P9*'Cost Pool'!$C$27),0)</f>
        <v>0</v>
      </c>
      <c r="T9" s="59">
        <v>0</v>
      </c>
      <c r="U9" s="59">
        <f t="shared" si="15"/>
        <v>0</v>
      </c>
      <c r="V9" s="59">
        <f>ROUND((O9*'Cost Pool'!$E$27),0)</f>
        <v>0</v>
      </c>
      <c r="W9" s="59">
        <f t="shared" si="16"/>
        <v>0</v>
      </c>
      <c r="X9" s="108"/>
    </row>
    <row r="10" spans="1:24" x14ac:dyDescent="0.2">
      <c r="A10" s="32" t="s">
        <v>166</v>
      </c>
      <c r="B10" s="36" t="str">
        <f t="shared" si="0"/>
        <v>100-HC</v>
      </c>
      <c r="C10" s="36" t="str">
        <f t="shared" si="1"/>
        <v>100 - General Fund</v>
      </c>
      <c r="D10" s="36" t="str">
        <f t="shared" si="2"/>
        <v>Portland Housing Bureau</v>
      </c>
      <c r="E10" s="38">
        <f t="shared" si="3"/>
        <v>1.2400395655266388E-2</v>
      </c>
      <c r="F10" s="38">
        <f t="shared" si="4"/>
        <v>1.4530222028497016E-2</v>
      </c>
      <c r="G10" s="38">
        <f t="shared" si="5"/>
        <v>1.8940505873970458E-2</v>
      </c>
      <c r="H10" s="38">
        <f t="shared" si="6"/>
        <v>2.5031497965745907E-2</v>
      </c>
      <c r="I10" s="38">
        <f t="shared" si="7"/>
        <v>2.5835401318826945E-2</v>
      </c>
      <c r="J10" s="37">
        <f t="shared" si="8"/>
        <v>7.7831373372176859E-3</v>
      </c>
      <c r="K10" s="37">
        <f t="shared" si="9"/>
        <v>8.5583583412245073E-3</v>
      </c>
      <c r="L10" s="37">
        <f t="shared" si="10"/>
        <v>7.6570813182035994E-3</v>
      </c>
      <c r="M10" s="37">
        <f t="shared" si="11"/>
        <v>7.5650783477437698E-3</v>
      </c>
      <c r="N10" s="37">
        <f t="shared" si="12"/>
        <v>6.9930919905090722E-3</v>
      </c>
      <c r="O10" s="39">
        <f t="shared" si="13"/>
        <v>1.9303122261007197E-2</v>
      </c>
      <c r="P10" s="39">
        <f t="shared" si="17"/>
        <v>1.3467662305820614E-2</v>
      </c>
      <c r="Q10" s="59">
        <v>739988</v>
      </c>
      <c r="R10" s="59">
        <f t="shared" si="14"/>
        <v>-73770</v>
      </c>
      <c r="S10" s="59">
        <f>ROUND((P10*'Cost Pool'!$C$27),0)</f>
        <v>666218</v>
      </c>
      <c r="T10" s="59">
        <v>958138</v>
      </c>
      <c r="U10" s="59">
        <f t="shared" si="15"/>
        <v>139193</v>
      </c>
      <c r="V10" s="59">
        <f>ROUND((O10*'Cost Pool'!$E$27),0)</f>
        <v>1097331</v>
      </c>
      <c r="W10" s="59">
        <f t="shared" si="16"/>
        <v>1023561</v>
      </c>
      <c r="X10" s="108"/>
    </row>
    <row r="11" spans="1:24" x14ac:dyDescent="0.2">
      <c r="A11" s="32" t="s">
        <v>158</v>
      </c>
      <c r="B11" s="36" t="str">
        <f t="shared" si="0"/>
        <v>Excluded</v>
      </c>
      <c r="C11" s="36" t="e">
        <f t="shared" si="1"/>
        <v>#N/A</v>
      </c>
      <c r="D11" s="36" t="e">
        <f t="shared" si="2"/>
        <v>#N/A</v>
      </c>
      <c r="E11" s="38">
        <f t="shared" si="3"/>
        <v>0</v>
      </c>
      <c r="F11" s="38">
        <f t="shared" si="4"/>
        <v>0</v>
      </c>
      <c r="G11" s="38">
        <f t="shared" si="5"/>
        <v>0</v>
      </c>
      <c r="H11" s="38">
        <f t="shared" si="6"/>
        <v>0</v>
      </c>
      <c r="I11" s="38">
        <f t="shared" si="7"/>
        <v>0</v>
      </c>
      <c r="J11" s="37">
        <f t="shared" si="8"/>
        <v>0</v>
      </c>
      <c r="K11" s="37">
        <f t="shared" si="9"/>
        <v>0</v>
      </c>
      <c r="L11" s="37">
        <f t="shared" si="10"/>
        <v>0</v>
      </c>
      <c r="M11" s="37">
        <f t="shared" si="11"/>
        <v>0</v>
      </c>
      <c r="N11" s="37">
        <f t="shared" si="12"/>
        <v>0</v>
      </c>
      <c r="O11" s="39">
        <f t="shared" si="13"/>
        <v>0</v>
      </c>
      <c r="P11" s="39">
        <f t="shared" si="17"/>
        <v>0</v>
      </c>
      <c r="Q11" s="59">
        <v>0</v>
      </c>
      <c r="R11" s="59">
        <f t="shared" si="14"/>
        <v>0</v>
      </c>
      <c r="S11" s="59">
        <f>ROUND((P11*'Cost Pool'!$C$27),0)</f>
        <v>0</v>
      </c>
      <c r="T11" s="59">
        <v>0</v>
      </c>
      <c r="U11" s="59">
        <f t="shared" si="15"/>
        <v>0</v>
      </c>
      <c r="V11" s="59">
        <f>ROUND((O11*'Cost Pool'!$E$27),0)</f>
        <v>0</v>
      </c>
      <c r="W11" s="59">
        <f t="shared" si="16"/>
        <v>0</v>
      </c>
      <c r="X11" s="108"/>
    </row>
    <row r="12" spans="1:24" x14ac:dyDescent="0.2">
      <c r="A12" s="32" t="s">
        <v>159</v>
      </c>
      <c r="B12" s="36" t="str">
        <f t="shared" si="0"/>
        <v>100-MF</v>
      </c>
      <c r="C12" s="36" t="str">
        <f t="shared" si="1"/>
        <v>100 - General Fund</v>
      </c>
      <c r="D12" s="36" t="str">
        <f t="shared" si="2"/>
        <v>Office of Management &amp; Finance</v>
      </c>
      <c r="E12" s="38">
        <f t="shared" si="3"/>
        <v>1.3882006594172479E-2</v>
      </c>
      <c r="F12" s="38">
        <f t="shared" si="4"/>
        <v>1.2493454008808434E-2</v>
      </c>
      <c r="G12" s="38">
        <f t="shared" si="5"/>
        <v>1.0665171982594148E-2</v>
      </c>
      <c r="H12" s="38">
        <f t="shared" si="6"/>
        <v>9.8086602958805565E-3</v>
      </c>
      <c r="I12" s="38">
        <f t="shared" si="7"/>
        <v>9.5647780101861205E-3</v>
      </c>
      <c r="J12" s="37">
        <f t="shared" si="8"/>
        <v>1.1285549138965645E-2</v>
      </c>
      <c r="K12" s="37">
        <f t="shared" si="9"/>
        <v>1.1043043020934848E-2</v>
      </c>
      <c r="L12" s="37">
        <f t="shared" si="10"/>
        <v>9.7566036151303919E-3</v>
      </c>
      <c r="M12" s="37">
        <f t="shared" si="11"/>
        <v>9.0551695374508755E-3</v>
      </c>
      <c r="N12" s="37">
        <f t="shared" si="12"/>
        <v>8.9470441643277835E-3</v>
      </c>
      <c r="O12" s="39">
        <f t="shared" si="13"/>
        <v>9.8228873485742933E-3</v>
      </c>
      <c r="P12" s="39">
        <f t="shared" si="17"/>
        <v>1.1933924460979671E-2</v>
      </c>
      <c r="Q12" s="59">
        <v>655486</v>
      </c>
      <c r="R12" s="59">
        <f t="shared" si="14"/>
        <v>-65139</v>
      </c>
      <c r="S12" s="59">
        <f>ROUND((P12*'Cost Pool'!$C$27),0)</f>
        <v>590347</v>
      </c>
      <c r="T12" s="59">
        <v>618998</v>
      </c>
      <c r="U12" s="59">
        <f t="shared" si="15"/>
        <v>-60593</v>
      </c>
      <c r="V12" s="59">
        <f>ROUND((O12*'Cost Pool'!$E$27),0)</f>
        <v>558405</v>
      </c>
      <c r="W12" s="59">
        <f t="shared" si="16"/>
        <v>493266</v>
      </c>
      <c r="X12" s="108"/>
    </row>
    <row r="13" spans="1:24" x14ac:dyDescent="0.2">
      <c r="A13" s="32" t="s">
        <v>163</v>
      </c>
      <c r="B13" s="36" t="str">
        <f t="shared" si="0"/>
        <v>100-MY</v>
      </c>
      <c r="C13" s="36" t="str">
        <f t="shared" si="1"/>
        <v>100 - General Fund</v>
      </c>
      <c r="D13" s="36" t="str">
        <f t="shared" si="2"/>
        <v>Office of the Mayor</v>
      </c>
      <c r="E13" s="38">
        <f t="shared" si="3"/>
        <v>8.6584976195272533E-4</v>
      </c>
      <c r="F13" s="38">
        <f t="shared" si="4"/>
        <v>4.0732821260335293E-4</v>
      </c>
      <c r="G13" s="38">
        <f t="shared" si="5"/>
        <v>0</v>
      </c>
      <c r="H13" s="38">
        <f t="shared" si="6"/>
        <v>0</v>
      </c>
      <c r="I13" s="38">
        <f t="shared" si="7"/>
        <v>0</v>
      </c>
      <c r="J13" s="37">
        <f t="shared" si="8"/>
        <v>2.5943791124058955E-4</v>
      </c>
      <c r="K13" s="37">
        <f t="shared" si="9"/>
        <v>2.7607607552337124E-4</v>
      </c>
      <c r="L13" s="37">
        <f t="shared" si="10"/>
        <v>2.4700262316785805E-4</v>
      </c>
      <c r="M13" s="37">
        <f t="shared" si="11"/>
        <v>2.2924479841647787E-4</v>
      </c>
      <c r="N13" s="37">
        <f t="shared" si="12"/>
        <v>2.0567917619144331E-4</v>
      </c>
      <c r="O13" s="39">
        <f t="shared" si="13"/>
        <v>5.6827216481314933E-5</v>
      </c>
      <c r="P13" s="39">
        <f t="shared" si="17"/>
        <v>3.8350421113333782E-4</v>
      </c>
      <c r="Q13" s="59">
        <v>21006</v>
      </c>
      <c r="R13" s="59">
        <f t="shared" si="14"/>
        <v>-2035</v>
      </c>
      <c r="S13" s="59">
        <f>ROUND((P13*'Cost Pool'!$C$27),0)</f>
        <v>18971</v>
      </c>
      <c r="T13" s="59">
        <v>9483</v>
      </c>
      <c r="U13" s="59">
        <f t="shared" si="15"/>
        <v>-6253</v>
      </c>
      <c r="V13" s="59">
        <f>ROUND((O13*'Cost Pool'!$E$27),0)</f>
        <v>3230</v>
      </c>
      <c r="W13" s="59">
        <f t="shared" si="16"/>
        <v>1195</v>
      </c>
      <c r="X13" s="108"/>
    </row>
    <row r="14" spans="1:24" x14ac:dyDescent="0.2">
      <c r="A14" s="32" t="s">
        <v>160</v>
      </c>
      <c r="B14" s="36" t="str">
        <f t="shared" si="0"/>
        <v>100-NI</v>
      </c>
      <c r="C14" s="36" t="str">
        <f t="shared" si="1"/>
        <v>100 - General Fund</v>
      </c>
      <c r="D14" s="36" t="str">
        <f t="shared" si="2"/>
        <v>Office of Neighborhood Involvement</v>
      </c>
      <c r="E14" s="38">
        <f t="shared" si="3"/>
        <v>6.4644500304242656E-3</v>
      </c>
      <c r="F14" s="38">
        <f t="shared" si="4"/>
        <v>7.0276652311841844E-3</v>
      </c>
      <c r="G14" s="38">
        <f t="shared" si="5"/>
        <v>8.1586759688650669E-3</v>
      </c>
      <c r="H14" s="38">
        <f t="shared" si="6"/>
        <v>8.2162583559792796E-3</v>
      </c>
      <c r="I14" s="38">
        <f t="shared" si="7"/>
        <v>8.0501887066413147E-3</v>
      </c>
      <c r="J14" s="37">
        <f t="shared" si="8"/>
        <v>5.8373530029132651E-3</v>
      </c>
      <c r="K14" s="37">
        <f t="shared" si="9"/>
        <v>6.9019018880842808E-3</v>
      </c>
      <c r="L14" s="37">
        <f t="shared" si="10"/>
        <v>7.4100786950357413E-3</v>
      </c>
      <c r="M14" s="37">
        <f t="shared" si="11"/>
        <v>6.7627215532860968E-3</v>
      </c>
      <c r="N14" s="37">
        <f t="shared" si="12"/>
        <v>6.1960851827672298E-3</v>
      </c>
      <c r="O14" s="39">
        <f t="shared" si="13"/>
        <v>7.8036878771288376E-3</v>
      </c>
      <c r="P14" s="39">
        <f t="shared" si="17"/>
        <v>7.0918089397878203E-3</v>
      </c>
      <c r="Q14" s="59">
        <v>389794</v>
      </c>
      <c r="R14" s="59">
        <f t="shared" si="14"/>
        <v>-38977</v>
      </c>
      <c r="S14" s="59">
        <f>ROUND((P14*'Cost Pool'!$C$27),0)</f>
        <v>350817</v>
      </c>
      <c r="T14" s="59">
        <v>438940</v>
      </c>
      <c r="U14" s="59">
        <f t="shared" si="15"/>
        <v>4679</v>
      </c>
      <c r="V14" s="59">
        <f>ROUND((O14*'Cost Pool'!$E$27),0)</f>
        <v>443619</v>
      </c>
      <c r="W14" s="59">
        <f t="shared" si="16"/>
        <v>404642</v>
      </c>
      <c r="X14" s="108"/>
    </row>
    <row r="15" spans="1:24" x14ac:dyDescent="0.2">
      <c r="A15" s="32" t="s">
        <v>316</v>
      </c>
      <c r="B15" s="36" t="str">
        <f t="shared" si="0"/>
        <v>100-OE</v>
      </c>
      <c r="C15" s="36" t="str">
        <f t="shared" si="1"/>
        <v>100 - General Fund</v>
      </c>
      <c r="D15" s="36" t="str">
        <f t="shared" si="2"/>
        <v>Office of Equity &amp; Human Rights</v>
      </c>
      <c r="E15" s="38">
        <f t="shared" si="3"/>
        <v>5.700951406963754E-4</v>
      </c>
      <c r="F15" s="38">
        <f t="shared" si="4"/>
        <v>4.6281904069926937E-4</v>
      </c>
      <c r="G15" s="38">
        <f t="shared" si="5"/>
        <v>7.2097525560289053E-4</v>
      </c>
      <c r="H15" s="38">
        <f t="shared" si="6"/>
        <v>4.9733915208424934E-4</v>
      </c>
      <c r="I15" s="38">
        <f t="shared" si="7"/>
        <v>4.4345021816863709E-4</v>
      </c>
      <c r="J15" s="37">
        <f t="shared" si="8"/>
        <v>3.792420422274859E-4</v>
      </c>
      <c r="K15" s="37">
        <f t="shared" si="9"/>
        <v>5.2178378273917149E-4</v>
      </c>
      <c r="L15" s="37">
        <f t="shared" si="10"/>
        <v>9.6825028281800354E-4</v>
      </c>
      <c r="M15" s="37">
        <f t="shared" si="11"/>
        <v>9.6492318889455128E-4</v>
      </c>
      <c r="N15" s="37">
        <f t="shared" si="12"/>
        <v>7.2571940178949718E-4</v>
      </c>
      <c r="O15" s="39">
        <f t="shared" si="13"/>
        <v>6.3701556258911527E-4</v>
      </c>
      <c r="P15" s="39">
        <f t="shared" si="17"/>
        <v>5.9424536823168893E-4</v>
      </c>
      <c r="Q15" s="59">
        <v>32667</v>
      </c>
      <c r="R15" s="59">
        <f t="shared" si="14"/>
        <v>-3271</v>
      </c>
      <c r="S15" s="59">
        <f>ROUND((P15*'Cost Pool'!$C$27),0)</f>
        <v>29396</v>
      </c>
      <c r="T15" s="59">
        <v>42231</v>
      </c>
      <c r="U15" s="59">
        <f t="shared" si="15"/>
        <v>-6018</v>
      </c>
      <c r="V15" s="59">
        <f>ROUND((O15*'Cost Pool'!$E$27),0)</f>
        <v>36213</v>
      </c>
      <c r="W15" s="59">
        <f t="shared" si="16"/>
        <v>32942</v>
      </c>
      <c r="X15" s="108"/>
    </row>
    <row r="16" spans="1:24" x14ac:dyDescent="0.2">
      <c r="A16" s="32" t="s">
        <v>152</v>
      </c>
      <c r="B16" s="36" t="str">
        <f t="shared" si="0"/>
        <v>100-PA</v>
      </c>
      <c r="C16" s="36" t="str">
        <f t="shared" si="1"/>
        <v>100 - General Fund</v>
      </c>
      <c r="D16" s="36" t="str">
        <f t="shared" si="2"/>
        <v>Commissioner of Public Affairs</v>
      </c>
      <c r="E16" s="38">
        <f t="shared" si="3"/>
        <v>7.7661338889833671E-4</v>
      </c>
      <c r="F16" s="38">
        <f t="shared" si="4"/>
        <v>6.9360803951157323E-4</v>
      </c>
      <c r="G16" s="38">
        <f t="shared" si="5"/>
        <v>7.4311421842990406E-4</v>
      </c>
      <c r="H16" s="38">
        <f t="shared" si="6"/>
        <v>8.6845697026560352E-4</v>
      </c>
      <c r="I16" s="38">
        <f t="shared" si="7"/>
        <v>8.079096907950879E-4</v>
      </c>
      <c r="J16" s="37">
        <f t="shared" si="8"/>
        <v>6.4859477810147383E-4</v>
      </c>
      <c r="K16" s="37">
        <f t="shared" si="9"/>
        <v>6.9019018880842802E-4</v>
      </c>
      <c r="L16" s="37">
        <f t="shared" si="10"/>
        <v>6.1750655791964514E-4</v>
      </c>
      <c r="M16" s="37">
        <f t="shared" si="11"/>
        <v>5.7311199604119468E-4</v>
      </c>
      <c r="N16" s="37">
        <f t="shared" si="12"/>
        <v>4.1135835238288661E-4</v>
      </c>
      <c r="O16" s="39">
        <f t="shared" si="13"/>
        <v>7.3836829540129283E-4</v>
      </c>
      <c r="P16" s="39">
        <f t="shared" si="17"/>
        <v>7.1635820544574901E-4</v>
      </c>
      <c r="Q16" s="59">
        <v>39357</v>
      </c>
      <c r="R16" s="59">
        <f t="shared" si="14"/>
        <v>-3920</v>
      </c>
      <c r="S16" s="59">
        <f>ROUND((P16*'Cost Pool'!$C$27),0)</f>
        <v>35437</v>
      </c>
      <c r="T16" s="59">
        <v>42296</v>
      </c>
      <c r="U16" s="59">
        <f t="shared" si="15"/>
        <v>-322</v>
      </c>
      <c r="V16" s="59">
        <f>ROUND((O16*'Cost Pool'!$E$27),0)</f>
        <v>41974</v>
      </c>
      <c r="W16" s="59">
        <f t="shared" si="16"/>
        <v>38054</v>
      </c>
      <c r="X16" s="108"/>
    </row>
    <row r="17" spans="1:24" x14ac:dyDescent="0.2">
      <c r="A17" s="32" t="s">
        <v>167</v>
      </c>
      <c r="B17" s="36" t="str">
        <f t="shared" si="0"/>
        <v>100-PK</v>
      </c>
      <c r="C17" s="36" t="str">
        <f t="shared" si="1"/>
        <v>100 - General Fund</v>
      </c>
      <c r="D17" s="36" t="str">
        <f t="shared" si="2"/>
        <v>Portland Parks &amp; Recreation</v>
      </c>
      <c r="E17" s="38">
        <f t="shared" si="3"/>
        <v>6.0257451830851468E-2</v>
      </c>
      <c r="F17" s="38">
        <f t="shared" si="4"/>
        <v>6.5598891597657735E-2</v>
      </c>
      <c r="G17" s="38">
        <f t="shared" si="5"/>
        <v>7.2690040788043572E-2</v>
      </c>
      <c r="H17" s="38">
        <f t="shared" si="6"/>
        <v>7.0051122700129087E-2</v>
      </c>
      <c r="I17" s="38">
        <f t="shared" si="7"/>
        <v>6.9790192090614531E-2</v>
      </c>
      <c r="J17" s="37">
        <f t="shared" si="8"/>
        <v>0.34907370957421324</v>
      </c>
      <c r="K17" s="37">
        <f t="shared" si="9"/>
        <v>0.29471121062119876</v>
      </c>
      <c r="L17" s="37">
        <f t="shared" si="10"/>
        <v>0.3476561921087602</v>
      </c>
      <c r="M17" s="37">
        <f t="shared" si="11"/>
        <v>0.36289451589328448</v>
      </c>
      <c r="N17" s="37">
        <f t="shared" si="12"/>
        <v>0.40858168350430213</v>
      </c>
      <c r="O17" s="39">
        <f t="shared" si="13"/>
        <v>0.1463938715202257</v>
      </c>
      <c r="P17" s="39">
        <f t="shared" si="17"/>
        <v>0.13225668874615254</v>
      </c>
      <c r="Q17" s="59">
        <v>7288009</v>
      </c>
      <c r="R17" s="59">
        <f t="shared" si="14"/>
        <v>-745543</v>
      </c>
      <c r="S17" s="59">
        <f>ROUND((P17*'Cost Pool'!$C$27),0)</f>
        <v>6542466</v>
      </c>
      <c r="T17" s="59">
        <v>7848492</v>
      </c>
      <c r="U17" s="59">
        <f t="shared" si="15"/>
        <v>473610</v>
      </c>
      <c r="V17" s="59">
        <f>ROUND((O17*'Cost Pool'!$E$27),0)</f>
        <v>8322102</v>
      </c>
      <c r="W17" s="59">
        <f t="shared" si="16"/>
        <v>7576559</v>
      </c>
      <c r="X17" s="108"/>
    </row>
    <row r="18" spans="1:24" x14ac:dyDescent="0.2">
      <c r="A18" s="32" t="s">
        <v>168</v>
      </c>
      <c r="B18" s="36" t="str">
        <f t="shared" si="0"/>
        <v>100-PL</v>
      </c>
      <c r="C18" s="36" t="str">
        <f t="shared" si="1"/>
        <v>100 - General Fund</v>
      </c>
      <c r="D18" s="36" t="str">
        <f t="shared" si="2"/>
        <v>Portland Police Bureau</v>
      </c>
      <c r="E18" s="38">
        <f t="shared" si="3"/>
        <v>0.15278326629835443</v>
      </c>
      <c r="F18" s="38">
        <f t="shared" si="4"/>
        <v>0.15910504352885926</v>
      </c>
      <c r="G18" s="38">
        <f t="shared" si="5"/>
        <v>0.16069191739034649</v>
      </c>
      <c r="H18" s="38">
        <f t="shared" si="6"/>
        <v>0.15244253047997264</v>
      </c>
      <c r="I18" s="38">
        <f t="shared" si="7"/>
        <v>0.15377981507064267</v>
      </c>
      <c r="J18" s="37">
        <f t="shared" si="8"/>
        <v>0.15358724345442901</v>
      </c>
      <c r="K18" s="37">
        <f t="shared" si="9"/>
        <v>0.16385115082312082</v>
      </c>
      <c r="L18" s="37">
        <f t="shared" si="10"/>
        <v>0.14968358963972198</v>
      </c>
      <c r="M18" s="37">
        <f t="shared" si="11"/>
        <v>0.14281950941346572</v>
      </c>
      <c r="N18" s="37">
        <f t="shared" si="12"/>
        <v>0.12998923935299217</v>
      </c>
      <c r="O18" s="39">
        <f t="shared" si="13"/>
        <v>0.1519362606024221</v>
      </c>
      <c r="P18" s="39">
        <f t="shared" si="17"/>
        <v>0.15707188879749603</v>
      </c>
      <c r="Q18" s="59">
        <v>8632119</v>
      </c>
      <c r="R18" s="59">
        <f t="shared" si="14"/>
        <v>-862096</v>
      </c>
      <c r="S18" s="59">
        <f>ROUND((P18*'Cost Pool'!$C$27),0)</f>
        <v>7770023</v>
      </c>
      <c r="T18" s="59">
        <v>9006249</v>
      </c>
      <c r="U18" s="59">
        <f t="shared" si="15"/>
        <v>-369077</v>
      </c>
      <c r="V18" s="59">
        <f>ROUND((O18*'Cost Pool'!$E$27),0)</f>
        <v>8637172</v>
      </c>
      <c r="W18" s="59">
        <f t="shared" si="16"/>
        <v>7775076</v>
      </c>
      <c r="X18" s="108"/>
    </row>
    <row r="19" spans="1:24" x14ac:dyDescent="0.2">
      <c r="A19" s="32" t="s">
        <v>151</v>
      </c>
      <c r="B19" s="36" t="str">
        <f t="shared" si="0"/>
        <v>100-PN</v>
      </c>
      <c r="C19" s="36" t="str">
        <f t="shared" si="1"/>
        <v>100 - General Fund</v>
      </c>
      <c r="D19" s="36" t="str">
        <f t="shared" si="2"/>
        <v>Bureau of Planning &amp; Sustainability</v>
      </c>
      <c r="E19" s="38">
        <f t="shared" si="3"/>
        <v>7.1676627654263586E-3</v>
      </c>
      <c r="F19" s="38">
        <f t="shared" si="4"/>
        <v>6.7121480295604195E-3</v>
      </c>
      <c r="G19" s="38">
        <f t="shared" si="5"/>
        <v>7.6006249624553154E-3</v>
      </c>
      <c r="H19" s="38">
        <f t="shared" si="6"/>
        <v>7.0123333154886395E-3</v>
      </c>
      <c r="I19" s="38">
        <f t="shared" si="7"/>
        <v>7.0665463461824273E-3</v>
      </c>
      <c r="J19" s="37">
        <f t="shared" si="8"/>
        <v>9.8651265749234163E-3</v>
      </c>
      <c r="K19" s="37">
        <f t="shared" si="9"/>
        <v>1.0297637617021746E-2</v>
      </c>
      <c r="L19" s="37">
        <f t="shared" si="10"/>
        <v>9.5392413067426768E-3</v>
      </c>
      <c r="M19" s="37">
        <f t="shared" si="11"/>
        <v>1.1448485232918904E-2</v>
      </c>
      <c r="N19" s="37">
        <f t="shared" si="12"/>
        <v>8.2862998108127733E-3</v>
      </c>
      <c r="O19" s="39">
        <f t="shared" si="13"/>
        <v>7.8593783519044572E-3</v>
      </c>
      <c r="P19" s="39">
        <f t="shared" si="17"/>
        <v>7.8452760642511773E-3</v>
      </c>
      <c r="Q19" s="59">
        <v>431348</v>
      </c>
      <c r="R19" s="59">
        <f t="shared" si="14"/>
        <v>-43258</v>
      </c>
      <c r="S19" s="59">
        <f>ROUND((P19*'Cost Pool'!$C$27),0)</f>
        <v>388090</v>
      </c>
      <c r="T19" s="59">
        <v>458183</v>
      </c>
      <c r="U19" s="59">
        <f t="shared" si="15"/>
        <v>-11398</v>
      </c>
      <c r="V19" s="59">
        <f>ROUND((O19*'Cost Pool'!$E$27),0)</f>
        <v>446785</v>
      </c>
      <c r="W19" s="59">
        <f t="shared" si="16"/>
        <v>403527</v>
      </c>
      <c r="X19" s="108"/>
    </row>
    <row r="20" spans="1:24" x14ac:dyDescent="0.2">
      <c r="A20" s="32" t="s">
        <v>153</v>
      </c>
      <c r="B20" s="36" t="str">
        <f t="shared" si="0"/>
        <v>100-PS</v>
      </c>
      <c r="C20" s="36" t="str">
        <f t="shared" si="1"/>
        <v>100 - General Fund</v>
      </c>
      <c r="D20" s="36" t="str">
        <f t="shared" si="2"/>
        <v>Commissioner of Public Safety</v>
      </c>
      <c r="E20" s="38">
        <f t="shared" si="3"/>
        <v>0</v>
      </c>
      <c r="F20" s="38">
        <f t="shared" si="4"/>
        <v>0</v>
      </c>
      <c r="G20" s="38">
        <f t="shared" si="5"/>
        <v>0</v>
      </c>
      <c r="H20" s="38">
        <f t="shared" si="6"/>
        <v>0</v>
      </c>
      <c r="I20" s="38">
        <f t="shared" si="7"/>
        <v>0</v>
      </c>
      <c r="J20" s="37">
        <f t="shared" si="8"/>
        <v>0</v>
      </c>
      <c r="K20" s="37">
        <f t="shared" si="9"/>
        <v>0</v>
      </c>
      <c r="L20" s="37">
        <f t="shared" si="10"/>
        <v>0</v>
      </c>
      <c r="M20" s="37">
        <f t="shared" si="11"/>
        <v>0</v>
      </c>
      <c r="N20" s="37">
        <f t="shared" si="12"/>
        <v>0</v>
      </c>
      <c r="O20" s="39">
        <f t="shared" si="13"/>
        <v>0</v>
      </c>
      <c r="P20" s="39">
        <f t="shared" si="17"/>
        <v>0</v>
      </c>
      <c r="Q20" s="59">
        <v>0</v>
      </c>
      <c r="R20" s="59">
        <f t="shared" si="14"/>
        <v>0</v>
      </c>
      <c r="S20" s="59">
        <f>ROUND((P20*'Cost Pool'!$C$27),0)</f>
        <v>0</v>
      </c>
      <c r="T20" s="59">
        <v>0</v>
      </c>
      <c r="U20" s="59">
        <f t="shared" si="15"/>
        <v>0</v>
      </c>
      <c r="V20" s="59">
        <f>ROUND((O20*'Cost Pool'!$E$27),0)</f>
        <v>0</v>
      </c>
      <c r="W20" s="59">
        <f t="shared" si="16"/>
        <v>0</v>
      </c>
      <c r="X20" s="108"/>
    </row>
    <row r="21" spans="1:24" x14ac:dyDescent="0.2">
      <c r="A21" s="32" t="s">
        <v>154</v>
      </c>
      <c r="B21" s="36" t="str">
        <f t="shared" si="0"/>
        <v>100-PU</v>
      </c>
      <c r="C21" s="36" t="str">
        <f t="shared" si="1"/>
        <v>100 - General Fund</v>
      </c>
      <c r="D21" s="36" t="str">
        <f t="shared" si="2"/>
        <v>Commissioner of Public Utilities</v>
      </c>
      <c r="E21" s="38">
        <f t="shared" si="3"/>
        <v>0</v>
      </c>
      <c r="F21" s="38">
        <f t="shared" si="4"/>
        <v>0</v>
      </c>
      <c r="G21" s="38">
        <f t="shared" si="5"/>
        <v>0</v>
      </c>
      <c r="H21" s="38">
        <f t="shared" si="6"/>
        <v>0</v>
      </c>
      <c r="I21" s="38">
        <f t="shared" si="7"/>
        <v>0</v>
      </c>
      <c r="J21" s="37">
        <f t="shared" si="8"/>
        <v>0</v>
      </c>
      <c r="K21" s="37">
        <f t="shared" si="9"/>
        <v>0</v>
      </c>
      <c r="L21" s="37">
        <f t="shared" si="10"/>
        <v>0</v>
      </c>
      <c r="M21" s="37">
        <f t="shared" si="11"/>
        <v>0</v>
      </c>
      <c r="N21" s="37">
        <f t="shared" si="12"/>
        <v>0</v>
      </c>
      <c r="O21" s="39">
        <f t="shared" si="13"/>
        <v>0</v>
      </c>
      <c r="P21" s="39">
        <f t="shared" si="17"/>
        <v>0</v>
      </c>
      <c r="Q21" s="59">
        <v>0</v>
      </c>
      <c r="R21" s="59">
        <f t="shared" si="14"/>
        <v>0</v>
      </c>
      <c r="S21" s="59">
        <f>ROUND((P21*'Cost Pool'!$C$27),0)</f>
        <v>0</v>
      </c>
      <c r="T21" s="59">
        <v>0</v>
      </c>
      <c r="U21" s="59">
        <f t="shared" si="15"/>
        <v>0</v>
      </c>
      <c r="V21" s="59">
        <f>ROUND((O21*'Cost Pool'!$E$27),0)</f>
        <v>0</v>
      </c>
      <c r="W21" s="59">
        <f t="shared" si="16"/>
        <v>0</v>
      </c>
      <c r="X21" s="108"/>
    </row>
    <row r="22" spans="1:24" x14ac:dyDescent="0.2">
      <c r="A22" s="32" t="s">
        <v>155</v>
      </c>
      <c r="B22" s="36" t="str">
        <f t="shared" si="0"/>
        <v>100-PW</v>
      </c>
      <c r="C22" s="36" t="str">
        <f t="shared" si="1"/>
        <v>100 - General Fund</v>
      </c>
      <c r="D22" s="36" t="str">
        <f t="shared" si="2"/>
        <v>Commissioner of Public Works</v>
      </c>
      <c r="E22" s="38">
        <f t="shared" si="3"/>
        <v>0</v>
      </c>
      <c r="F22" s="38">
        <f t="shared" si="4"/>
        <v>0</v>
      </c>
      <c r="G22" s="38">
        <f t="shared" si="5"/>
        <v>0</v>
      </c>
      <c r="H22" s="38">
        <f t="shared" si="6"/>
        <v>0</v>
      </c>
      <c r="I22" s="38">
        <f t="shared" si="7"/>
        <v>0</v>
      </c>
      <c r="J22" s="37">
        <f t="shared" si="8"/>
        <v>0</v>
      </c>
      <c r="K22" s="37">
        <f t="shared" si="9"/>
        <v>0</v>
      </c>
      <c r="L22" s="37">
        <f t="shared" si="10"/>
        <v>0</v>
      </c>
      <c r="M22" s="37">
        <f t="shared" si="11"/>
        <v>0</v>
      </c>
      <c r="N22" s="37">
        <f t="shared" si="12"/>
        <v>0</v>
      </c>
      <c r="O22" s="39">
        <f t="shared" si="13"/>
        <v>0</v>
      </c>
      <c r="P22" s="39">
        <f t="shared" si="17"/>
        <v>0</v>
      </c>
      <c r="Q22" s="59">
        <v>0</v>
      </c>
      <c r="R22" s="59">
        <f t="shared" si="14"/>
        <v>0</v>
      </c>
      <c r="S22" s="59">
        <f>ROUND((P22*'Cost Pool'!$C$27),0)</f>
        <v>0</v>
      </c>
      <c r="T22" s="59">
        <v>0</v>
      </c>
      <c r="U22" s="59">
        <f t="shared" si="15"/>
        <v>0</v>
      </c>
      <c r="V22" s="59">
        <f>ROUND((O22*'Cost Pool'!$E$27),0)</f>
        <v>0</v>
      </c>
      <c r="W22" s="59">
        <f t="shared" si="16"/>
        <v>0</v>
      </c>
      <c r="X22" s="108"/>
    </row>
    <row r="23" spans="1:24" x14ac:dyDescent="0.2">
      <c r="A23" s="32" t="s">
        <v>169</v>
      </c>
      <c r="B23" s="36" t="str">
        <f t="shared" si="0"/>
        <v>100-SA</v>
      </c>
      <c r="C23" s="36" t="str">
        <f t="shared" si="1"/>
        <v>100 - General Fund</v>
      </c>
      <c r="D23" s="36" t="str">
        <f t="shared" si="2"/>
        <v>Special Appropriations</v>
      </c>
      <c r="E23" s="38">
        <f t="shared" si="3"/>
        <v>9.4586003119795647E-3</v>
      </c>
      <c r="F23" s="38">
        <f t="shared" si="4"/>
        <v>9.1777351458614733E-3</v>
      </c>
      <c r="G23" s="38">
        <f t="shared" si="5"/>
        <v>9.782080511189218E-3</v>
      </c>
      <c r="H23" s="38">
        <f t="shared" si="6"/>
        <v>9.8024885151313749E-3</v>
      </c>
      <c r="I23" s="38">
        <f t="shared" si="7"/>
        <v>1.0199932477734116E-2</v>
      </c>
      <c r="J23" s="37">
        <f t="shared" si="8"/>
        <v>0</v>
      </c>
      <c r="K23" s="37">
        <f t="shared" si="9"/>
        <v>0</v>
      </c>
      <c r="L23" s="37">
        <f t="shared" si="10"/>
        <v>0</v>
      </c>
      <c r="M23" s="37">
        <f t="shared" si="11"/>
        <v>0</v>
      </c>
      <c r="N23" s="37">
        <f t="shared" si="12"/>
        <v>0</v>
      </c>
      <c r="O23" s="39">
        <f t="shared" si="13"/>
        <v>7.4461253760136781E-3</v>
      </c>
      <c r="P23" s="39">
        <f t="shared" si="17"/>
        <v>7.1046039922575653E-3</v>
      </c>
      <c r="Q23" s="59">
        <v>389754</v>
      </c>
      <c r="R23" s="59">
        <f t="shared" si="14"/>
        <v>-38304</v>
      </c>
      <c r="S23" s="59">
        <f>ROUND((P23*'Cost Pool'!$C$27),0)</f>
        <v>351450</v>
      </c>
      <c r="T23" s="59">
        <v>414586</v>
      </c>
      <c r="U23" s="59">
        <f t="shared" si="15"/>
        <v>8706</v>
      </c>
      <c r="V23" s="59">
        <f>ROUND((O23*'Cost Pool'!$E$27),0)</f>
        <v>423292</v>
      </c>
      <c r="W23" s="59">
        <f t="shared" si="16"/>
        <v>384988</v>
      </c>
      <c r="X23" s="108"/>
    </row>
    <row r="24" spans="1:24" x14ac:dyDescent="0.2">
      <c r="A24" s="33" t="s">
        <v>317</v>
      </c>
      <c r="B24" s="36" t="str">
        <f t="shared" si="0"/>
        <v>100-PN</v>
      </c>
      <c r="C24" s="36" t="str">
        <f t="shared" si="1"/>
        <v>100 - General Fund</v>
      </c>
      <c r="D24" s="36" t="str">
        <f t="shared" si="2"/>
        <v>Bureau of Planning &amp; Sustainability</v>
      </c>
      <c r="E24" s="38">
        <f t="shared" si="3"/>
        <v>0</v>
      </c>
      <c r="F24" s="38">
        <f t="shared" si="4"/>
        <v>0</v>
      </c>
      <c r="G24" s="38">
        <f t="shared" si="5"/>
        <v>0</v>
      </c>
      <c r="H24" s="38">
        <f t="shared" si="6"/>
        <v>0</v>
      </c>
      <c r="I24" s="38">
        <f t="shared" si="7"/>
        <v>0</v>
      </c>
      <c r="J24" s="37">
        <f t="shared" si="8"/>
        <v>0</v>
      </c>
      <c r="K24" s="37">
        <f t="shared" si="9"/>
        <v>0</v>
      </c>
      <c r="L24" s="37">
        <f t="shared" si="10"/>
        <v>0</v>
      </c>
      <c r="M24" s="37">
        <f t="shared" si="11"/>
        <v>0</v>
      </c>
      <c r="N24" s="37">
        <f t="shared" si="12"/>
        <v>0</v>
      </c>
      <c r="O24" s="39">
        <f t="shared" si="13"/>
        <v>0</v>
      </c>
      <c r="P24" s="39">
        <f t="shared" si="17"/>
        <v>0</v>
      </c>
      <c r="Q24" s="59">
        <v>0</v>
      </c>
      <c r="R24" s="59">
        <f t="shared" si="14"/>
        <v>0</v>
      </c>
      <c r="S24" s="59">
        <f>ROUND((P24*'Cost Pool'!$C$27),0)</f>
        <v>0</v>
      </c>
      <c r="T24" s="59">
        <v>0</v>
      </c>
      <c r="U24" s="59">
        <f t="shared" si="15"/>
        <v>0</v>
      </c>
      <c r="V24" s="59">
        <f>ROUND((O24*'Cost Pool'!$E$27),0)</f>
        <v>0</v>
      </c>
      <c r="W24" s="59">
        <f t="shared" si="16"/>
        <v>0</v>
      </c>
      <c r="X24" s="108"/>
    </row>
    <row r="25" spans="1:24" x14ac:dyDescent="0.2">
      <c r="A25" s="32" t="s">
        <v>318</v>
      </c>
      <c r="B25" s="36" t="str">
        <f t="shared" si="0"/>
        <v>PDC</v>
      </c>
      <c r="C25" s="36" t="str">
        <f t="shared" si="1"/>
        <v>PDC - Portland Development Commission</v>
      </c>
      <c r="D25" s="36" t="e">
        <f t="shared" si="2"/>
        <v>#N/A</v>
      </c>
      <c r="E25" s="38">
        <f t="shared" si="3"/>
        <v>4.9330492092725508E-3</v>
      </c>
      <c r="F25" s="38">
        <f t="shared" si="4"/>
        <v>5.6517312261481524E-3</v>
      </c>
      <c r="G25" s="38">
        <f t="shared" si="5"/>
        <v>7.305788607569268E-3</v>
      </c>
      <c r="H25" s="38">
        <f>IF($B25="Excluded",0,(IF(ISNA(VLOOKUP($A25,FY2016_17,10,FALSE)),0,(VLOOKUP($A25,FY2016_17,10,FALSE)))))</f>
        <v>5.4655689781861949E-3</v>
      </c>
      <c r="I25" s="38">
        <f t="shared" si="7"/>
        <v>5.1508822112290497E-3</v>
      </c>
      <c r="J25" s="37">
        <f t="shared" si="8"/>
        <v>0</v>
      </c>
      <c r="K25" s="37">
        <f t="shared" si="9"/>
        <v>0</v>
      </c>
      <c r="L25" s="37">
        <f t="shared" si="10"/>
        <v>0</v>
      </c>
      <c r="M25" s="37">
        <f t="shared" si="11"/>
        <v>0</v>
      </c>
      <c r="N25" s="37">
        <f t="shared" si="12"/>
        <v>0</v>
      </c>
      <c r="O25" s="39">
        <f t="shared" si="13"/>
        <v>4.4805599492461282E-3</v>
      </c>
      <c r="P25" s="39">
        <f t="shared" si="17"/>
        <v>4.4726422607474928E-3</v>
      </c>
      <c r="Q25" s="59">
        <v>245507</v>
      </c>
      <c r="R25" s="59">
        <f t="shared" si="14"/>
        <v>-24255</v>
      </c>
      <c r="S25" s="59">
        <f>ROUND((P25*'Cost Pool'!$C$27),0)</f>
        <v>221252</v>
      </c>
      <c r="T25" s="59">
        <v>265561</v>
      </c>
      <c r="U25" s="59">
        <f t="shared" si="15"/>
        <v>-10853</v>
      </c>
      <c r="V25" s="59">
        <f>ROUND((O25*'Cost Pool'!$E$27),0)</f>
        <v>254708</v>
      </c>
      <c r="W25" s="59">
        <f t="shared" si="16"/>
        <v>230453</v>
      </c>
      <c r="X25" s="108"/>
    </row>
    <row r="26" spans="1:24" x14ac:dyDescent="0.2">
      <c r="A26" s="32" t="s">
        <v>170</v>
      </c>
      <c r="B26" s="36">
        <f t="shared" si="0"/>
        <v>200</v>
      </c>
      <c r="C26" s="36" t="str">
        <f t="shared" si="1"/>
        <v>200 - Transportation Operating Fund</v>
      </c>
      <c r="D26" s="36" t="e">
        <f t="shared" si="2"/>
        <v>#N/A</v>
      </c>
      <c r="E26" s="38">
        <f t="shared" si="3"/>
        <v>0.13823534861792172</v>
      </c>
      <c r="F26" s="38">
        <f t="shared" si="4"/>
        <v>0.13306632722366957</v>
      </c>
      <c r="G26" s="38">
        <f t="shared" si="5"/>
        <v>0.12484624539804103</v>
      </c>
      <c r="H26" s="38">
        <f>IF($B26="Excluded",0,(IF(ISNA(VLOOKUP($A26,FY2016_17,10,FALSE)),0,(VLOOKUP($A26,FY2016_17,10,FALSE)))))</f>
        <v>0.12775375258183003</v>
      </c>
      <c r="I26" s="38">
        <f t="shared" si="7"/>
        <v>0.12173181834728082</v>
      </c>
      <c r="J26" s="37">
        <f t="shared" si="8"/>
        <v>9.7678373582081965E-2</v>
      </c>
      <c r="K26" s="37">
        <f t="shared" si="9"/>
        <v>0.10711751730306804</v>
      </c>
      <c r="L26" s="37">
        <f t="shared" si="10"/>
        <v>0.10164157943357359</v>
      </c>
      <c r="M26" s="37">
        <f t="shared" si="11"/>
        <v>0.10350402648503976</v>
      </c>
      <c r="N26" s="37">
        <f t="shared" si="12"/>
        <v>9.7903287867127015E-2</v>
      </c>
      <c r="O26" s="39">
        <f t="shared" si="13"/>
        <v>0.11883702856393299</v>
      </c>
      <c r="P26" s="39">
        <f t="shared" si="17"/>
        <v>0.1245734361698017</v>
      </c>
      <c r="Q26" s="59">
        <v>6842755</v>
      </c>
      <c r="R26" s="59">
        <f t="shared" si="14"/>
        <v>-680363</v>
      </c>
      <c r="S26" s="59">
        <f>ROUND((P26*'Cost Pool'!$C$27),0)</f>
        <v>6162392</v>
      </c>
      <c r="T26" s="59">
        <v>7063711</v>
      </c>
      <c r="U26" s="59">
        <f t="shared" si="15"/>
        <v>-308142</v>
      </c>
      <c r="V26" s="59">
        <f>ROUND((O26*'Cost Pool'!$E$27),0)</f>
        <v>6755569</v>
      </c>
      <c r="W26" s="59">
        <f t="shared" si="16"/>
        <v>6075206</v>
      </c>
      <c r="X26" s="108"/>
    </row>
    <row r="27" spans="1:24" x14ac:dyDescent="0.2">
      <c r="A27" s="32" t="s">
        <v>171</v>
      </c>
      <c r="B27" s="36">
        <f t="shared" si="0"/>
        <v>202</v>
      </c>
      <c r="C27" s="36" t="str">
        <f t="shared" si="1"/>
        <v>202 - Emergency Communication Fund</v>
      </c>
      <c r="D27" s="36" t="e">
        <f t="shared" si="2"/>
        <v>#N/A</v>
      </c>
      <c r="E27" s="38">
        <f t="shared" si="3"/>
        <v>1.5816333506504288E-2</v>
      </c>
      <c r="F27" s="38">
        <f t="shared" si="4"/>
        <v>1.6298084081786141E-2</v>
      </c>
      <c r="G27" s="38">
        <f t="shared" si="5"/>
        <v>1.6913778507933207E-2</v>
      </c>
      <c r="H27" s="38">
        <f t="shared" si="6"/>
        <v>1.5744044339521205E-2</v>
      </c>
      <c r="I27" s="38">
        <f t="shared" si="7"/>
        <v>1.5462387219212817E-2</v>
      </c>
      <c r="J27" s="37">
        <f t="shared" si="8"/>
        <v>1.8290372742461564E-2</v>
      </c>
      <c r="K27" s="37">
        <f t="shared" si="9"/>
        <v>1.9739439399921042E-2</v>
      </c>
      <c r="L27" s="37">
        <f t="shared" si="10"/>
        <v>1.9636708541844714E-2</v>
      </c>
      <c r="M27" s="37">
        <f t="shared" si="11"/>
        <v>2.0402787059066532E-2</v>
      </c>
      <c r="N27" s="37">
        <f t="shared" si="12"/>
        <v>1.9231002973899951E-2</v>
      </c>
      <c r="O27" s="39">
        <f t="shared" si="13"/>
        <v>1.696926073123441E-2</v>
      </c>
      <c r="P27" s="39">
        <f t="shared" si="17"/>
        <v>1.7062592414408186E-2</v>
      </c>
      <c r="Q27" s="59">
        <v>937936</v>
      </c>
      <c r="R27" s="59">
        <f t="shared" si="14"/>
        <v>-93885</v>
      </c>
      <c r="S27" s="59">
        <f>ROUND((P27*'Cost Pool'!$C$27),0)</f>
        <v>844051</v>
      </c>
      <c r="T27" s="59">
        <v>993764</v>
      </c>
      <c r="U27" s="59">
        <f t="shared" si="15"/>
        <v>-29107</v>
      </c>
      <c r="V27" s="59">
        <f>ROUND((O27*'Cost Pool'!$E$27),0)</f>
        <v>964657</v>
      </c>
      <c r="W27" s="59">
        <f t="shared" si="16"/>
        <v>870772</v>
      </c>
      <c r="X27" s="108"/>
    </row>
    <row r="28" spans="1:24" x14ac:dyDescent="0.2">
      <c r="A28" s="32" t="s">
        <v>172</v>
      </c>
      <c r="B28" s="36">
        <f t="shared" si="0"/>
        <v>202</v>
      </c>
      <c r="C28" s="36" t="str">
        <f t="shared" si="1"/>
        <v>202 - Emergency Communication Fund</v>
      </c>
      <c r="D28" s="36" t="e">
        <f t="shared" si="2"/>
        <v>#N/A</v>
      </c>
      <c r="E28" s="38">
        <f t="shared" si="3"/>
        <v>0</v>
      </c>
      <c r="F28" s="38">
        <f t="shared" si="4"/>
        <v>0</v>
      </c>
      <c r="G28" s="38">
        <f t="shared" si="5"/>
        <v>0</v>
      </c>
      <c r="H28" s="38">
        <f t="shared" si="6"/>
        <v>0</v>
      </c>
      <c r="I28" s="38">
        <f t="shared" si="7"/>
        <v>0</v>
      </c>
      <c r="J28" s="37">
        <f t="shared" si="8"/>
        <v>0</v>
      </c>
      <c r="K28" s="37">
        <f t="shared" si="9"/>
        <v>0</v>
      </c>
      <c r="L28" s="37">
        <f t="shared" si="10"/>
        <v>0</v>
      </c>
      <c r="M28" s="37">
        <f t="shared" si="11"/>
        <v>0</v>
      </c>
      <c r="N28" s="37">
        <f t="shared" si="12"/>
        <v>0</v>
      </c>
      <c r="O28" s="39">
        <f t="shared" si="13"/>
        <v>0</v>
      </c>
      <c r="P28" s="39">
        <f t="shared" si="17"/>
        <v>0</v>
      </c>
      <c r="Q28" s="59">
        <v>0</v>
      </c>
      <c r="R28" s="59">
        <f t="shared" si="14"/>
        <v>0</v>
      </c>
      <c r="S28" s="59">
        <f>ROUND((P28*'Cost Pool'!$C$27),0)</f>
        <v>0</v>
      </c>
      <c r="T28" s="59">
        <v>0</v>
      </c>
      <c r="U28" s="59">
        <f t="shared" si="15"/>
        <v>0</v>
      </c>
      <c r="V28" s="59">
        <f>ROUND((O28*'Cost Pool'!$E$27),0)</f>
        <v>0</v>
      </c>
      <c r="W28" s="59">
        <f t="shared" si="16"/>
        <v>0</v>
      </c>
      <c r="X28" s="108"/>
    </row>
    <row r="29" spans="1:24" x14ac:dyDescent="0.2">
      <c r="A29" s="32" t="s">
        <v>173</v>
      </c>
      <c r="B29" s="36">
        <f t="shared" si="0"/>
        <v>203</v>
      </c>
      <c r="C29" s="36" t="str">
        <f t="shared" si="1"/>
        <v>203 - Development Services Fund</v>
      </c>
      <c r="D29" s="36" t="e">
        <f t="shared" si="2"/>
        <v>#N/A</v>
      </c>
      <c r="E29" s="38">
        <f t="shared" si="3"/>
        <v>2.9126869365251089E-2</v>
      </c>
      <c r="F29" s="38">
        <f t="shared" si="4"/>
        <v>3.1923621062366112E-2</v>
      </c>
      <c r="G29" s="38">
        <f t="shared" si="5"/>
        <v>3.7919347512293068E-2</v>
      </c>
      <c r="H29" s="38">
        <f t="shared" si="6"/>
        <v>4.064712243245102E-2</v>
      </c>
      <c r="I29" s="38">
        <f t="shared" si="7"/>
        <v>4.3521811691916538E-2</v>
      </c>
      <c r="J29" s="37">
        <f t="shared" si="8"/>
        <v>3.3208052638795463E-2</v>
      </c>
      <c r="K29" s="37">
        <f t="shared" si="9"/>
        <v>4.3758057970454338E-2</v>
      </c>
      <c r="L29" s="37">
        <f t="shared" si="10"/>
        <v>4.4707474793382308E-2</v>
      </c>
      <c r="M29" s="37">
        <f t="shared" si="11"/>
        <v>4.607820448171205E-2</v>
      </c>
      <c r="N29" s="37">
        <f t="shared" si="12"/>
        <v>4.720337093593624E-2</v>
      </c>
      <c r="O29" s="39">
        <f t="shared" si="13"/>
        <v>4.202115792675104E-2</v>
      </c>
      <c r="P29" s="39">
        <f t="shared" si="17"/>
        <v>3.4881924935196908E-2</v>
      </c>
      <c r="Q29" s="59">
        <v>1918006</v>
      </c>
      <c r="R29" s="59">
        <f t="shared" si="14"/>
        <v>-192469</v>
      </c>
      <c r="S29" s="59">
        <f>ROUND((P29*'Cost Pool'!$C$27),0)</f>
        <v>1725537</v>
      </c>
      <c r="T29" s="59">
        <v>2241339</v>
      </c>
      <c r="U29" s="59">
        <f t="shared" si="15"/>
        <v>147452</v>
      </c>
      <c r="V29" s="59">
        <f>ROUND((O29*'Cost Pool'!$E$27),0)</f>
        <v>2388791</v>
      </c>
      <c r="W29" s="59">
        <f t="shared" si="16"/>
        <v>2196322</v>
      </c>
      <c r="X29" s="108"/>
    </row>
    <row r="30" spans="1:24" ht="11.65" customHeight="1" x14ac:dyDescent="0.2">
      <c r="A30" s="32" t="s">
        <v>174</v>
      </c>
      <c r="B30" s="36">
        <f t="shared" si="0"/>
        <v>204</v>
      </c>
      <c r="C30" s="36" t="str">
        <f t="shared" si="1"/>
        <v>204 - Property Management License Fund</v>
      </c>
      <c r="D30" s="36" t="e">
        <f t="shared" si="2"/>
        <v>#N/A</v>
      </c>
      <c r="E30" s="38">
        <f t="shared" si="3"/>
        <v>0</v>
      </c>
      <c r="F30" s="38">
        <f t="shared" si="4"/>
        <v>0</v>
      </c>
      <c r="G30" s="38">
        <f t="shared" si="5"/>
        <v>0</v>
      </c>
      <c r="H30" s="38">
        <f t="shared" si="6"/>
        <v>0</v>
      </c>
      <c r="I30" s="38">
        <f t="shared" si="7"/>
        <v>0</v>
      </c>
      <c r="J30" s="37">
        <f t="shared" si="8"/>
        <v>0</v>
      </c>
      <c r="K30" s="37">
        <f t="shared" si="9"/>
        <v>0</v>
      </c>
      <c r="L30" s="37">
        <f t="shared" si="10"/>
        <v>0</v>
      </c>
      <c r="M30" s="37">
        <f t="shared" si="11"/>
        <v>0</v>
      </c>
      <c r="N30" s="37">
        <f t="shared" si="12"/>
        <v>0</v>
      </c>
      <c r="O30" s="39">
        <f t="shared" si="13"/>
        <v>0</v>
      </c>
      <c r="P30" s="39">
        <f t="shared" si="17"/>
        <v>0</v>
      </c>
      <c r="Q30" s="59">
        <v>25000</v>
      </c>
      <c r="R30" s="59">
        <f t="shared" si="14"/>
        <v>0</v>
      </c>
      <c r="S30" s="62">
        <v>25000</v>
      </c>
      <c r="T30" s="59">
        <v>25000</v>
      </c>
      <c r="U30" s="59">
        <f t="shared" si="15"/>
        <v>0</v>
      </c>
      <c r="V30" s="62">
        <v>25000</v>
      </c>
      <c r="W30" s="62">
        <v>25000</v>
      </c>
      <c r="X30" s="108"/>
    </row>
    <row r="31" spans="1:24" x14ac:dyDescent="0.2">
      <c r="A31" s="32" t="s">
        <v>175</v>
      </c>
      <c r="B31" s="36" t="str">
        <f t="shared" si="0"/>
        <v>206-MF</v>
      </c>
      <c r="C31" s="36" t="str">
        <f t="shared" si="1"/>
        <v>206 - MHCRC Agency Fund</v>
      </c>
      <c r="D31" s="36" t="str">
        <f t="shared" si="2"/>
        <v>Office of Management &amp; Finance</v>
      </c>
      <c r="E31" s="38">
        <f t="shared" si="3"/>
        <v>0</v>
      </c>
      <c r="F31" s="38">
        <f t="shared" si="4"/>
        <v>0</v>
      </c>
      <c r="G31" s="38">
        <f t="shared" si="5"/>
        <v>0</v>
      </c>
      <c r="H31" s="38">
        <f t="shared" si="6"/>
        <v>0</v>
      </c>
      <c r="I31" s="38">
        <f t="shared" si="7"/>
        <v>0</v>
      </c>
      <c r="J31" s="37">
        <f t="shared" si="8"/>
        <v>0</v>
      </c>
      <c r="K31" s="37">
        <f t="shared" si="9"/>
        <v>0</v>
      </c>
      <c r="L31" s="37">
        <f t="shared" si="10"/>
        <v>0</v>
      </c>
      <c r="M31" s="37">
        <f t="shared" si="11"/>
        <v>0</v>
      </c>
      <c r="N31" s="37">
        <f t="shared" si="12"/>
        <v>0</v>
      </c>
      <c r="O31" s="39">
        <f t="shared" si="13"/>
        <v>0</v>
      </c>
      <c r="P31" s="39">
        <f t="shared" si="17"/>
        <v>0</v>
      </c>
      <c r="Q31" s="59">
        <v>25000</v>
      </c>
      <c r="R31" s="59">
        <f t="shared" si="14"/>
        <v>0</v>
      </c>
      <c r="S31" s="62">
        <v>25000</v>
      </c>
      <c r="T31" s="59">
        <v>25000</v>
      </c>
      <c r="U31" s="59">
        <f t="shared" si="15"/>
        <v>0</v>
      </c>
      <c r="V31" s="62">
        <v>25000</v>
      </c>
      <c r="W31" s="62">
        <v>25000</v>
      </c>
      <c r="X31" s="108"/>
    </row>
    <row r="32" spans="1:24" x14ac:dyDescent="0.2">
      <c r="A32" s="32" t="s">
        <v>176</v>
      </c>
      <c r="B32" s="36">
        <f t="shared" si="0"/>
        <v>209</v>
      </c>
      <c r="C32" s="36" t="str">
        <f t="shared" si="1"/>
        <v>209 - Convention and Tourism Fund</v>
      </c>
      <c r="D32" s="36" t="e">
        <f t="shared" si="2"/>
        <v>#N/A</v>
      </c>
      <c r="E32" s="38">
        <f t="shared" si="3"/>
        <v>0</v>
      </c>
      <c r="F32" s="38">
        <f t="shared" si="4"/>
        <v>0</v>
      </c>
      <c r="G32" s="38">
        <f t="shared" si="5"/>
        <v>0</v>
      </c>
      <c r="H32" s="38">
        <f t="shared" si="6"/>
        <v>0</v>
      </c>
      <c r="I32" s="38">
        <f t="shared" si="7"/>
        <v>0</v>
      </c>
      <c r="J32" s="37">
        <f t="shared" si="8"/>
        <v>0</v>
      </c>
      <c r="K32" s="37">
        <f t="shared" si="9"/>
        <v>0</v>
      </c>
      <c r="L32" s="37">
        <f t="shared" si="10"/>
        <v>0</v>
      </c>
      <c r="M32" s="37">
        <f t="shared" si="11"/>
        <v>0</v>
      </c>
      <c r="N32" s="37">
        <f t="shared" si="12"/>
        <v>0</v>
      </c>
      <c r="O32" s="39">
        <f t="shared" si="13"/>
        <v>0</v>
      </c>
      <c r="P32" s="39">
        <f t="shared" si="17"/>
        <v>0</v>
      </c>
      <c r="Q32" s="59">
        <v>25000</v>
      </c>
      <c r="R32" s="59">
        <f t="shared" si="14"/>
        <v>0</v>
      </c>
      <c r="S32" s="62">
        <v>25000</v>
      </c>
      <c r="T32" s="59">
        <v>25000</v>
      </c>
      <c r="U32" s="59">
        <f t="shared" si="15"/>
        <v>0</v>
      </c>
      <c r="V32" s="62">
        <v>25000</v>
      </c>
      <c r="W32" s="62">
        <v>25000</v>
      </c>
      <c r="X32" s="108"/>
    </row>
    <row r="33" spans="1:25" x14ac:dyDescent="0.2">
      <c r="A33" s="32" t="s">
        <v>177</v>
      </c>
      <c r="B33" s="36" t="str">
        <f t="shared" si="0"/>
        <v>Excluded</v>
      </c>
      <c r="C33" s="36" t="e">
        <f t="shared" ref="C33:C60" si="21">CONCATENATE((LEFT(B33,3))," - ",(VLOOKUP((LEFT(B33,3)),Funds,2,FALSE)))</f>
        <v>#N/A</v>
      </c>
      <c r="D33" s="36" t="e">
        <f t="shared" ref="D33:D73" si="22">VLOOKUP((RIGHT(B33,2)),Bureaus,2,FALSE)</f>
        <v>#N/A</v>
      </c>
      <c r="E33" s="38">
        <f t="shared" si="3"/>
        <v>0</v>
      </c>
      <c r="F33" s="38">
        <f t="shared" si="4"/>
        <v>0</v>
      </c>
      <c r="G33" s="38">
        <f t="shared" si="5"/>
        <v>0</v>
      </c>
      <c r="H33" s="38">
        <f t="shared" si="6"/>
        <v>0</v>
      </c>
      <c r="I33" s="38">
        <f t="shared" si="7"/>
        <v>0</v>
      </c>
      <c r="J33" s="37">
        <f t="shared" ref="J33:J72" si="23">IF($B33="Excluded",0,(IF(ISNA(VLOOKUP($A33,FY2013_14P,6,FALSE)),0,(VLOOKUP($A33,FY2013_14P,6,FALSE)))))</f>
        <v>0</v>
      </c>
      <c r="K33" s="37">
        <f t="shared" ref="K33:K64" si="24">IF($B33="Excluded",0,(IF(ISNA(VLOOKUP($A33,FY2014_15P,6,FALSE)),0,(VLOOKUP($A33,FY2014_15P,6,FALSE)))))</f>
        <v>0</v>
      </c>
      <c r="L33" s="37">
        <f t="shared" si="10"/>
        <v>0</v>
      </c>
      <c r="M33" s="37">
        <f t="shared" si="11"/>
        <v>0</v>
      </c>
      <c r="N33" s="37">
        <f t="shared" si="12"/>
        <v>0</v>
      </c>
      <c r="O33" s="39">
        <f t="shared" si="13"/>
        <v>0</v>
      </c>
      <c r="P33" s="39">
        <f t="shared" si="17"/>
        <v>0</v>
      </c>
      <c r="Q33" s="59">
        <v>0</v>
      </c>
      <c r="R33" s="59">
        <f t="shared" si="14"/>
        <v>0</v>
      </c>
      <c r="S33" s="59">
        <f>ROUND((P33*'Cost Pool'!$C$27),0)</f>
        <v>0</v>
      </c>
      <c r="T33" s="59">
        <v>0</v>
      </c>
      <c r="U33" s="59">
        <f t="shared" si="15"/>
        <v>0</v>
      </c>
      <c r="V33" s="59">
        <f>ROUND((O33*'Cost Pool'!$E$27),0)</f>
        <v>0</v>
      </c>
      <c r="W33" s="59">
        <f t="shared" si="16"/>
        <v>0</v>
      </c>
      <c r="X33" s="108"/>
    </row>
    <row r="34" spans="1:25" x14ac:dyDescent="0.2">
      <c r="A34" s="32" t="s">
        <v>178</v>
      </c>
      <c r="B34" s="36">
        <f t="shared" si="0"/>
        <v>213</v>
      </c>
      <c r="C34" s="36" t="str">
        <f t="shared" si="21"/>
        <v>213 - Housing Investment Fund</v>
      </c>
      <c r="D34" s="36" t="e">
        <f t="shared" si="22"/>
        <v>#N/A</v>
      </c>
      <c r="E34" s="38">
        <f t="shared" ref="E34:E65" si="25">IF($B34="Excluded",0,(IF(ISNA(VLOOKUP($A34,FY2013_14,10,FALSE)),0,(VLOOKUP($A34,FY2013_14,10,FALSE)))))</f>
        <v>1.3526659884740501E-3</v>
      </c>
      <c r="F34" s="38">
        <f t="shared" ref="F34:F65" si="26">IF($B34="Excluded",0,(IF(ISNA(VLOOKUP($A34,FY2014_15,10,FALSE)),0,(VLOOKUP($A34,FY2014_15,10,FALSE)))))</f>
        <v>1.1705831886659268E-3</v>
      </c>
      <c r="G34" s="38">
        <f t="shared" ref="G34:G65" si="27">IF($B34="Excluded",0,(IF(ISNA(VLOOKUP($A34,FY2015_16,10,FALSE)),0,(VLOOKUP($A34,FY2015_16,10,FALSE)))))</f>
        <v>2.3496301821001801E-3</v>
      </c>
      <c r="H34" s="38">
        <f t="shared" si="6"/>
        <v>2.1717128181975086E-3</v>
      </c>
      <c r="I34" s="38">
        <f t="shared" ref="I34:I65" si="28">IF($B34="Excluded",0,(IF(ISNA(VLOOKUP($A34,FY2017_18,10,FALSE)),0,(VLOOKUP($A34,FY2017_18,10,FALSE)))))</f>
        <v>2.8466097239960458E-3</v>
      </c>
      <c r="J34" s="37">
        <f t="shared" si="23"/>
        <v>0</v>
      </c>
      <c r="K34" s="37">
        <f t="shared" si="24"/>
        <v>0</v>
      </c>
      <c r="L34" s="37">
        <f t="shared" ref="L34:L65" si="29">IF($B34="Excluded",0,(IF(ISNA(VLOOKUP($A34,FY2015_16P,6,FALSE)),0,(VLOOKUP($A34,FY2015_16P,6,FALSE)))))</f>
        <v>0</v>
      </c>
      <c r="M34" s="37">
        <f t="shared" ref="M34:M65" si="30">IF($B34="Excluded",0,(IF(ISNA(VLOOKUP($A34,FY2016_17P,6,FALSE)),0,(VLOOKUP($A34,FY2016_17P,6,FALSE)))))</f>
        <v>0</v>
      </c>
      <c r="N34" s="37">
        <f t="shared" ref="N34:N65" si="31">IF($B34="Excluded",0,(IF(ISNA(VLOOKUP($A34,FY2017_18P,6,FALSE)),0,(VLOOKUP($A34,FY2017_18P,6,FALSE)))))</f>
        <v>0</v>
      </c>
      <c r="O34" s="39">
        <f t="shared" si="13"/>
        <v>1.8419881810734337E-3</v>
      </c>
      <c r="P34" s="39">
        <f t="shared" si="17"/>
        <v>1.2182198398100392E-3</v>
      </c>
      <c r="Q34" s="59">
        <v>66886</v>
      </c>
      <c r="R34" s="59">
        <f t="shared" si="14"/>
        <v>-6623</v>
      </c>
      <c r="S34" s="59">
        <f>ROUND((P34*'Cost Pool'!$C$27),0)</f>
        <v>60263</v>
      </c>
      <c r="T34" s="59">
        <v>82079</v>
      </c>
      <c r="U34" s="59">
        <f t="shared" si="15"/>
        <v>22633</v>
      </c>
      <c r="V34" s="59">
        <f>ROUND((O34*'Cost Pool'!$E$27),0)</f>
        <v>104712</v>
      </c>
      <c r="W34" s="59">
        <f t="shared" si="16"/>
        <v>98089</v>
      </c>
      <c r="X34" s="108"/>
    </row>
    <row r="35" spans="1:25" x14ac:dyDescent="0.2">
      <c r="A35" s="32" t="s">
        <v>179</v>
      </c>
      <c r="B35" s="36" t="str">
        <f t="shared" si="0"/>
        <v>Excluded</v>
      </c>
      <c r="C35" s="36" t="e">
        <f t="shared" si="21"/>
        <v>#N/A</v>
      </c>
      <c r="D35" s="36" t="e">
        <f t="shared" si="22"/>
        <v>#N/A</v>
      </c>
      <c r="E35" s="38">
        <f t="shared" si="25"/>
        <v>0</v>
      </c>
      <c r="F35" s="38">
        <f t="shared" si="26"/>
        <v>0</v>
      </c>
      <c r="G35" s="38">
        <f t="shared" si="27"/>
        <v>0</v>
      </c>
      <c r="H35" s="38">
        <f t="shared" si="6"/>
        <v>0</v>
      </c>
      <c r="I35" s="38">
        <f t="shared" si="28"/>
        <v>0</v>
      </c>
      <c r="J35" s="37">
        <f t="shared" si="23"/>
        <v>0</v>
      </c>
      <c r="K35" s="37">
        <f t="shared" si="24"/>
        <v>0</v>
      </c>
      <c r="L35" s="37">
        <f t="shared" si="29"/>
        <v>0</v>
      </c>
      <c r="M35" s="37">
        <f t="shared" si="30"/>
        <v>0</v>
      </c>
      <c r="N35" s="37">
        <f t="shared" si="31"/>
        <v>0</v>
      </c>
      <c r="O35" s="39">
        <f t="shared" si="13"/>
        <v>0</v>
      </c>
      <c r="P35" s="39">
        <f>(AVERAGE(E35:G35)*0.75)+(AVERAGE(J35:L35)*0.25)</f>
        <v>0</v>
      </c>
      <c r="Q35" s="59">
        <v>0</v>
      </c>
      <c r="R35" s="59">
        <f t="shared" si="14"/>
        <v>0</v>
      </c>
      <c r="S35" s="59">
        <f>ROUND((P35*'Cost Pool'!$C$27),0)</f>
        <v>0</v>
      </c>
      <c r="T35" s="59">
        <v>0</v>
      </c>
      <c r="U35" s="59">
        <f t="shared" si="15"/>
        <v>0</v>
      </c>
      <c r="V35" s="59">
        <f>ROUND((O35*'Cost Pool'!$E$27),0)</f>
        <v>0</v>
      </c>
      <c r="W35" s="59">
        <f t="shared" si="16"/>
        <v>0</v>
      </c>
      <c r="X35" s="108"/>
    </row>
    <row r="36" spans="1:25" x14ac:dyDescent="0.2">
      <c r="A36" s="32" t="s">
        <v>180</v>
      </c>
      <c r="B36" s="36">
        <f t="shared" ref="B36:B76" si="32">VLOOKUP(A36,Crosswalk,2,FALSE)</f>
        <v>215</v>
      </c>
      <c r="C36" s="36" t="str">
        <f t="shared" si="21"/>
        <v>215 - Parks Local Option Levy Fund</v>
      </c>
      <c r="D36" s="36" t="e">
        <f t="shared" si="22"/>
        <v>#N/A</v>
      </c>
      <c r="E36" s="38">
        <f t="shared" si="25"/>
        <v>9.1462959867399214E-4</v>
      </c>
      <c r="F36" s="38">
        <f t="shared" si="26"/>
        <v>4.9432340495619528E-4</v>
      </c>
      <c r="G36" s="38">
        <f t="shared" si="27"/>
        <v>0</v>
      </c>
      <c r="H36" s="38">
        <f t="shared" si="6"/>
        <v>0</v>
      </c>
      <c r="I36" s="38">
        <f t="shared" si="28"/>
        <v>0</v>
      </c>
      <c r="J36" s="37">
        <f t="shared" si="23"/>
        <v>0</v>
      </c>
      <c r="K36" s="37">
        <f t="shared" si="24"/>
        <v>0</v>
      </c>
      <c r="L36" s="37">
        <f t="shared" si="29"/>
        <v>0</v>
      </c>
      <c r="M36" s="37">
        <f t="shared" si="30"/>
        <v>0</v>
      </c>
      <c r="N36" s="37">
        <f t="shared" si="31"/>
        <v>0</v>
      </c>
      <c r="O36" s="39">
        <f t="shared" si="13"/>
        <v>0</v>
      </c>
      <c r="P36" s="39">
        <f t="shared" si="17"/>
        <v>3.5223825090754685E-4</v>
      </c>
      <c r="Q36" s="59">
        <v>19263</v>
      </c>
      <c r="R36" s="59">
        <f t="shared" si="14"/>
        <v>-1838</v>
      </c>
      <c r="S36" s="59">
        <f>ROUND((P36*'Cost Pool'!$C$27),0)</f>
        <v>17425</v>
      </c>
      <c r="T36" s="59">
        <v>7107</v>
      </c>
      <c r="U36" s="59">
        <f t="shared" si="15"/>
        <v>-7107</v>
      </c>
      <c r="V36" s="59">
        <f>ROUND((O36*'Cost Pool'!$E$27),0)</f>
        <v>0</v>
      </c>
      <c r="W36" s="59">
        <f t="shared" si="16"/>
        <v>-1838</v>
      </c>
      <c r="X36" s="108"/>
    </row>
    <row r="37" spans="1:25" x14ac:dyDescent="0.2">
      <c r="A37" s="32" t="s">
        <v>181</v>
      </c>
      <c r="B37" s="36">
        <f t="shared" si="32"/>
        <v>216</v>
      </c>
      <c r="C37" s="36" t="str">
        <f t="shared" si="21"/>
        <v>216 - Children's Investment Fund</v>
      </c>
      <c r="D37" s="36" t="e">
        <f t="shared" si="22"/>
        <v>#N/A</v>
      </c>
      <c r="E37" s="38">
        <f t="shared" si="25"/>
        <v>0</v>
      </c>
      <c r="F37" s="38">
        <f t="shared" si="26"/>
        <v>0</v>
      </c>
      <c r="G37" s="38">
        <f t="shared" si="27"/>
        <v>0</v>
      </c>
      <c r="H37" s="38">
        <f t="shared" si="6"/>
        <v>0</v>
      </c>
      <c r="I37" s="38">
        <f t="shared" si="28"/>
        <v>0</v>
      </c>
      <c r="J37" s="37">
        <f t="shared" si="23"/>
        <v>0</v>
      </c>
      <c r="K37" s="37">
        <f t="shared" si="24"/>
        <v>0</v>
      </c>
      <c r="L37" s="37">
        <f t="shared" si="29"/>
        <v>0</v>
      </c>
      <c r="M37" s="37">
        <f t="shared" si="30"/>
        <v>0</v>
      </c>
      <c r="N37" s="37">
        <f t="shared" si="31"/>
        <v>0</v>
      </c>
      <c r="O37" s="39">
        <f t="shared" si="13"/>
        <v>0</v>
      </c>
      <c r="P37" s="39">
        <f t="shared" si="17"/>
        <v>0</v>
      </c>
      <c r="Q37" s="59">
        <v>25000</v>
      </c>
      <c r="R37" s="59">
        <f t="shared" si="14"/>
        <v>0</v>
      </c>
      <c r="S37" s="62">
        <v>25000</v>
      </c>
      <c r="T37" s="59">
        <v>25000</v>
      </c>
      <c r="U37" s="59">
        <f t="shared" si="15"/>
        <v>0</v>
      </c>
      <c r="V37" s="62">
        <v>25000</v>
      </c>
      <c r="W37" s="62">
        <f t="shared" si="16"/>
        <v>25000</v>
      </c>
      <c r="X37" s="108"/>
      <c r="Y37" s="119"/>
    </row>
    <row r="38" spans="1:25" x14ac:dyDescent="0.2">
      <c r="A38" s="32" t="s">
        <v>319</v>
      </c>
      <c r="B38" s="36">
        <f t="shared" si="32"/>
        <v>203</v>
      </c>
      <c r="C38" s="36" t="str">
        <f t="shared" si="21"/>
        <v>203 - Development Services Fund</v>
      </c>
      <c r="D38" s="36" t="e">
        <f t="shared" si="22"/>
        <v>#N/A</v>
      </c>
      <c r="E38" s="38">
        <f t="shared" si="25"/>
        <v>1.6721013664325138E-6</v>
      </c>
      <c r="F38" s="38">
        <f t="shared" si="26"/>
        <v>0</v>
      </c>
      <c r="G38" s="38">
        <f t="shared" si="27"/>
        <v>3.9464287980029745E-6</v>
      </c>
      <c r="H38" s="38">
        <f t="shared" si="6"/>
        <v>-3.5940452612500225E-6</v>
      </c>
      <c r="I38" s="38">
        <f t="shared" si="28"/>
        <v>0</v>
      </c>
      <c r="J38" s="37">
        <f t="shared" si="23"/>
        <v>0</v>
      </c>
      <c r="K38" s="37">
        <f t="shared" si="24"/>
        <v>0</v>
      </c>
      <c r="L38" s="37">
        <f t="shared" si="29"/>
        <v>0</v>
      </c>
      <c r="M38" s="37">
        <f t="shared" si="30"/>
        <v>0</v>
      </c>
      <c r="N38" s="37">
        <f t="shared" si="31"/>
        <v>0</v>
      </c>
      <c r="O38" s="39">
        <f t="shared" si="13"/>
        <v>8.8095884188237984E-8</v>
      </c>
      <c r="P38" s="39">
        <f t="shared" si="17"/>
        <v>1.404632541108872E-6</v>
      </c>
      <c r="Q38" s="59">
        <v>77</v>
      </c>
      <c r="R38" s="59">
        <f t="shared" si="14"/>
        <v>-8</v>
      </c>
      <c r="S38" s="59">
        <f>ROUND((P38*'Cost Pool'!$C$27),0)</f>
        <v>69</v>
      </c>
      <c r="T38" s="59">
        <v>5</v>
      </c>
      <c r="U38" s="59">
        <f t="shared" si="15"/>
        <v>0</v>
      </c>
      <c r="V38" s="59">
        <f>ROUND((O38*'Cost Pool'!$E$27),0)</f>
        <v>5</v>
      </c>
      <c r="W38" s="59">
        <f t="shared" si="16"/>
        <v>-3</v>
      </c>
      <c r="X38" s="108"/>
    </row>
    <row r="39" spans="1:25" x14ac:dyDescent="0.2">
      <c r="A39" s="32" t="s">
        <v>182</v>
      </c>
      <c r="B39" s="36">
        <f t="shared" si="32"/>
        <v>202</v>
      </c>
      <c r="C39" s="36" t="str">
        <f t="shared" si="21"/>
        <v>202 - Emergency Communication Fund</v>
      </c>
      <c r="D39" s="36" t="e">
        <f t="shared" si="22"/>
        <v>#N/A</v>
      </c>
      <c r="E39" s="38">
        <f t="shared" si="25"/>
        <v>-4.3772287079385179E-9</v>
      </c>
      <c r="F39" s="38">
        <f t="shared" si="26"/>
        <v>0</v>
      </c>
      <c r="G39" s="38">
        <f t="shared" si="27"/>
        <v>0</v>
      </c>
      <c r="H39" s="38">
        <f t="shared" si="6"/>
        <v>0</v>
      </c>
      <c r="I39" s="38">
        <f t="shared" si="28"/>
        <v>0</v>
      </c>
      <c r="J39" s="37">
        <f t="shared" si="23"/>
        <v>0</v>
      </c>
      <c r="K39" s="37">
        <f t="shared" si="24"/>
        <v>0</v>
      </c>
      <c r="L39" s="37">
        <f t="shared" si="29"/>
        <v>0</v>
      </c>
      <c r="M39" s="37">
        <f t="shared" si="30"/>
        <v>0</v>
      </c>
      <c r="N39" s="37">
        <f t="shared" si="31"/>
        <v>0</v>
      </c>
      <c r="O39" s="39">
        <f t="shared" si="13"/>
        <v>0</v>
      </c>
      <c r="P39" s="39">
        <f t="shared" si="17"/>
        <v>-1.0943071769846295E-9</v>
      </c>
      <c r="Q39" s="59">
        <v>0</v>
      </c>
      <c r="R39" s="59">
        <f t="shared" si="14"/>
        <v>0</v>
      </c>
      <c r="S39" s="59">
        <f>ROUND((P39*'Cost Pool'!$C$27),0)</f>
        <v>0</v>
      </c>
      <c r="T39" s="59">
        <v>0</v>
      </c>
      <c r="U39" s="59">
        <f t="shared" si="15"/>
        <v>0</v>
      </c>
      <c r="V39" s="59">
        <f>ROUND((O39*'Cost Pool'!$E$27),0)</f>
        <v>0</v>
      </c>
      <c r="W39" s="59">
        <f t="shared" si="16"/>
        <v>0</v>
      </c>
      <c r="X39" s="108"/>
    </row>
    <row r="40" spans="1:25" x14ac:dyDescent="0.2">
      <c r="A40" s="32" t="s">
        <v>187</v>
      </c>
      <c r="B40" s="36" t="str">
        <f t="shared" si="32"/>
        <v>100-EM</v>
      </c>
      <c r="C40" s="36" t="str">
        <f t="shared" si="21"/>
        <v>100 - General Fund</v>
      </c>
      <c r="D40" s="36" t="str">
        <f t="shared" si="22"/>
        <v>Portland Bureau of Emergency Management</v>
      </c>
      <c r="E40" s="38">
        <f t="shared" si="25"/>
        <v>4.2261464704696659E-3</v>
      </c>
      <c r="F40" s="38">
        <f t="shared" si="26"/>
        <v>9.1905748395196231E-4</v>
      </c>
      <c r="G40" s="38">
        <f t="shared" si="27"/>
        <v>1.1969776193356905E-3</v>
      </c>
      <c r="H40" s="38">
        <f t="shared" si="6"/>
        <v>1.4379109314361033E-3</v>
      </c>
      <c r="I40" s="38">
        <f t="shared" si="28"/>
        <v>2.7552588512485339E-3</v>
      </c>
      <c r="J40" s="37">
        <f t="shared" si="23"/>
        <v>0</v>
      </c>
      <c r="K40" s="37">
        <f t="shared" si="24"/>
        <v>0</v>
      </c>
      <c r="L40" s="37">
        <f t="shared" si="29"/>
        <v>0</v>
      </c>
      <c r="M40" s="37">
        <f t="shared" si="30"/>
        <v>0</v>
      </c>
      <c r="N40" s="37">
        <f t="shared" si="31"/>
        <v>0</v>
      </c>
      <c r="O40" s="39">
        <f t="shared" si="13"/>
        <v>1.347536850505082E-3</v>
      </c>
      <c r="P40" s="39">
        <f t="shared" si="17"/>
        <v>1.5855453934393296E-3</v>
      </c>
      <c r="Q40" s="59">
        <v>86759</v>
      </c>
      <c r="R40" s="59">
        <f t="shared" si="14"/>
        <v>-8325</v>
      </c>
      <c r="S40" s="59">
        <f>ROUND((P40*'Cost Pool'!$C$27),0)</f>
        <v>78434</v>
      </c>
      <c r="T40" s="59">
        <v>51240</v>
      </c>
      <c r="U40" s="59">
        <f t="shared" si="15"/>
        <v>25364</v>
      </c>
      <c r="V40" s="59">
        <f>ROUND((O40*'Cost Pool'!$E$27),0)</f>
        <v>76604</v>
      </c>
      <c r="W40" s="59">
        <f t="shared" si="16"/>
        <v>68279</v>
      </c>
      <c r="X40" s="108"/>
    </row>
    <row r="41" spans="1:25" x14ac:dyDescent="0.2">
      <c r="A41" s="32" t="s">
        <v>183</v>
      </c>
      <c r="B41" s="36">
        <f t="shared" si="32"/>
        <v>600</v>
      </c>
      <c r="C41" s="36" t="str">
        <f t="shared" si="21"/>
        <v>600 - Sewer System Operating Fund</v>
      </c>
      <c r="D41" s="36" t="e">
        <f t="shared" si="22"/>
        <v>#N/A</v>
      </c>
      <c r="E41" s="38">
        <f t="shared" si="25"/>
        <v>9.5932383954998692E-4</v>
      </c>
      <c r="F41" s="38">
        <f t="shared" si="26"/>
        <v>5.7337260326118596E-4</v>
      </c>
      <c r="G41" s="38">
        <f t="shared" si="27"/>
        <v>6.2180552174734131E-4</v>
      </c>
      <c r="H41" s="38">
        <f t="shared" si="6"/>
        <v>1.3467463709439343E-4</v>
      </c>
      <c r="I41" s="38">
        <f t="shared" si="28"/>
        <v>1.6877112270199257E-4</v>
      </c>
      <c r="J41" s="37">
        <f t="shared" si="23"/>
        <v>0</v>
      </c>
      <c r="K41" s="37">
        <f t="shared" si="24"/>
        <v>0</v>
      </c>
      <c r="L41" s="37">
        <f t="shared" si="29"/>
        <v>0</v>
      </c>
      <c r="M41" s="37">
        <f t="shared" si="30"/>
        <v>0</v>
      </c>
      <c r="N41" s="37">
        <f t="shared" si="31"/>
        <v>0</v>
      </c>
      <c r="O41" s="39">
        <f t="shared" si="13"/>
        <v>2.3131282038593183E-4</v>
      </c>
      <c r="P41" s="39">
        <f t="shared" si="17"/>
        <v>5.3862549113962857E-4</v>
      </c>
      <c r="Q41" s="59">
        <v>29523</v>
      </c>
      <c r="R41" s="59">
        <f t="shared" si="14"/>
        <v>-2878</v>
      </c>
      <c r="S41" s="59">
        <f>ROUND((P41*'Cost Pool'!$C$27),0)</f>
        <v>26645</v>
      </c>
      <c r="T41" s="59">
        <v>19159</v>
      </c>
      <c r="U41" s="59">
        <f t="shared" si="15"/>
        <v>-6009</v>
      </c>
      <c r="V41" s="59">
        <f>ROUND((O41*'Cost Pool'!$E$27),0)</f>
        <v>13150</v>
      </c>
      <c r="W41" s="59">
        <f t="shared" si="16"/>
        <v>10272</v>
      </c>
      <c r="X41" s="108"/>
    </row>
    <row r="42" spans="1:25" x14ac:dyDescent="0.2">
      <c r="A42" s="32" t="s">
        <v>190</v>
      </c>
      <c r="B42" s="36" t="str">
        <f t="shared" si="32"/>
        <v>100-FR</v>
      </c>
      <c r="C42" s="36" t="str">
        <f t="shared" si="21"/>
        <v>100 - General Fund</v>
      </c>
      <c r="D42" s="36" t="str">
        <f t="shared" si="22"/>
        <v>Portland Fire &amp; Rescue</v>
      </c>
      <c r="E42" s="38">
        <f t="shared" si="25"/>
        <v>1.3061147083187124E-3</v>
      </c>
      <c r="F42" s="38">
        <f t="shared" si="26"/>
        <v>2.9442991180748902E-3</v>
      </c>
      <c r="G42" s="38">
        <f t="shared" si="27"/>
        <v>1.7902563679484227E-3</v>
      </c>
      <c r="H42" s="38">
        <f t="shared" si="6"/>
        <v>-5.1955319899227369E-6</v>
      </c>
      <c r="I42" s="38">
        <f t="shared" si="28"/>
        <v>3.0431247304961449E-5</v>
      </c>
      <c r="J42" s="37">
        <f t="shared" si="23"/>
        <v>0</v>
      </c>
      <c r="K42" s="37">
        <f t="shared" si="24"/>
        <v>0</v>
      </c>
      <c r="L42" s="37">
        <f t="shared" si="29"/>
        <v>0</v>
      </c>
      <c r="M42" s="37">
        <f t="shared" si="30"/>
        <v>0</v>
      </c>
      <c r="N42" s="37">
        <f t="shared" si="31"/>
        <v>0</v>
      </c>
      <c r="O42" s="39">
        <f t="shared" si="13"/>
        <v>4.5387302081586534E-4</v>
      </c>
      <c r="P42" s="39">
        <f t="shared" si="17"/>
        <v>1.5101675485855062E-3</v>
      </c>
      <c r="Q42" s="59">
        <v>82891</v>
      </c>
      <c r="R42" s="59">
        <f t="shared" si="14"/>
        <v>-8186</v>
      </c>
      <c r="S42" s="59">
        <f>ROUND((P42*'Cost Pool'!$C$27),0)</f>
        <v>74705</v>
      </c>
      <c r="T42" s="59">
        <v>68086</v>
      </c>
      <c r="U42" s="59">
        <f t="shared" si="15"/>
        <v>-42285</v>
      </c>
      <c r="V42" s="59">
        <f>ROUND((O42*'Cost Pool'!$E$27),0)</f>
        <v>25801</v>
      </c>
      <c r="W42" s="59">
        <f t="shared" si="16"/>
        <v>17615</v>
      </c>
      <c r="X42" s="108"/>
    </row>
    <row r="43" spans="1:25" x14ac:dyDescent="0.2">
      <c r="A43" s="32" t="s">
        <v>191</v>
      </c>
      <c r="B43" s="36" t="str">
        <f t="shared" si="32"/>
        <v>100-HC</v>
      </c>
      <c r="C43" s="36" t="str">
        <f t="shared" si="21"/>
        <v>100 - General Fund</v>
      </c>
      <c r="D43" s="36" t="str">
        <f t="shared" si="22"/>
        <v>Portland Housing Bureau</v>
      </c>
      <c r="E43" s="38">
        <f t="shared" si="25"/>
        <v>5.3868999792408018E-3</v>
      </c>
      <c r="F43" s="38">
        <f t="shared" si="26"/>
        <v>4.667939708785678E-3</v>
      </c>
      <c r="G43" s="38">
        <f t="shared" si="27"/>
        <v>3.6068693921340387E-3</v>
      </c>
      <c r="H43" s="38">
        <f t="shared" si="6"/>
        <v>2.6701495705294363E-3</v>
      </c>
      <c r="I43" s="38">
        <f t="shared" si="28"/>
        <v>2.0875127937478449E-3</v>
      </c>
      <c r="J43" s="37">
        <f t="shared" si="23"/>
        <v>0</v>
      </c>
      <c r="K43" s="37">
        <f t="shared" si="24"/>
        <v>0</v>
      </c>
      <c r="L43" s="37">
        <f t="shared" si="29"/>
        <v>0</v>
      </c>
      <c r="M43" s="37">
        <f t="shared" si="30"/>
        <v>0</v>
      </c>
      <c r="N43" s="37">
        <f t="shared" si="31"/>
        <v>0</v>
      </c>
      <c r="O43" s="39">
        <f t="shared" si="13"/>
        <v>2.0911329391028301E-3</v>
      </c>
      <c r="P43" s="39">
        <f t="shared" si="17"/>
        <v>3.4154272700401295E-3</v>
      </c>
      <c r="Q43" s="59">
        <v>187245</v>
      </c>
      <c r="R43" s="59">
        <f t="shared" si="14"/>
        <v>-18291</v>
      </c>
      <c r="S43" s="59">
        <f>ROUND((P43*'Cost Pool'!$C$27),0)</f>
        <v>168954</v>
      </c>
      <c r="T43" s="59">
        <v>157696</v>
      </c>
      <c r="U43" s="59">
        <f t="shared" si="15"/>
        <v>-38821</v>
      </c>
      <c r="V43" s="59">
        <f>ROUND((O43*'Cost Pool'!$E$27),0)</f>
        <v>118875</v>
      </c>
      <c r="W43" s="59">
        <f t="shared" si="16"/>
        <v>100584</v>
      </c>
      <c r="X43" s="108"/>
    </row>
    <row r="44" spans="1:25" x14ac:dyDescent="0.2">
      <c r="A44" s="32" t="s">
        <v>186</v>
      </c>
      <c r="B44" s="36" t="str">
        <f t="shared" si="32"/>
        <v>100-MF</v>
      </c>
      <c r="C44" s="36" t="str">
        <f t="shared" si="21"/>
        <v>100 - General Fund</v>
      </c>
      <c r="D44" s="36" t="str">
        <f t="shared" si="22"/>
        <v>Office of Management &amp; Finance</v>
      </c>
      <c r="E44" s="38">
        <f t="shared" si="25"/>
        <v>3.7467326848470534E-4</v>
      </c>
      <c r="F44" s="38">
        <f t="shared" si="26"/>
        <v>1.3335784854745709E-5</v>
      </c>
      <c r="G44" s="38">
        <f t="shared" si="27"/>
        <v>0</v>
      </c>
      <c r="H44" s="38">
        <f t="shared" si="6"/>
        <v>0</v>
      </c>
      <c r="I44" s="38">
        <f t="shared" si="28"/>
        <v>0</v>
      </c>
      <c r="J44" s="37">
        <f t="shared" si="23"/>
        <v>0</v>
      </c>
      <c r="K44" s="37">
        <f t="shared" si="24"/>
        <v>0</v>
      </c>
      <c r="L44" s="37">
        <f t="shared" si="29"/>
        <v>0</v>
      </c>
      <c r="M44" s="37">
        <f t="shared" si="30"/>
        <v>0</v>
      </c>
      <c r="N44" s="37">
        <f t="shared" si="31"/>
        <v>0</v>
      </c>
      <c r="O44" s="39">
        <f t="shared" si="13"/>
        <v>0</v>
      </c>
      <c r="P44" s="39">
        <f t="shared" si="17"/>
        <v>9.7002263334862763E-5</v>
      </c>
      <c r="Q44" s="59">
        <v>5295</v>
      </c>
      <c r="R44" s="59">
        <f t="shared" si="14"/>
        <v>-496</v>
      </c>
      <c r="S44" s="59">
        <f>ROUND((P44*'Cost Pool'!$C$27),0)</f>
        <v>4799</v>
      </c>
      <c r="T44" s="59">
        <v>192</v>
      </c>
      <c r="U44" s="59">
        <f t="shared" si="15"/>
        <v>-192</v>
      </c>
      <c r="V44" s="59">
        <f>ROUND((O44*'Cost Pool'!$E$27),0)</f>
        <v>0</v>
      </c>
      <c r="W44" s="59">
        <f t="shared" si="16"/>
        <v>-496</v>
      </c>
      <c r="X44" s="108"/>
    </row>
    <row r="45" spans="1:25" x14ac:dyDescent="0.2">
      <c r="A45" s="32" t="s">
        <v>323</v>
      </c>
      <c r="B45" s="36" t="str">
        <f t="shared" si="32"/>
        <v>100-MY</v>
      </c>
      <c r="C45" s="36" t="str">
        <f t="shared" si="21"/>
        <v>100 - General Fund</v>
      </c>
      <c r="D45" s="36" t="str">
        <f t="shared" si="22"/>
        <v>Office of the Mayor</v>
      </c>
      <c r="E45" s="38">
        <f t="shared" si="25"/>
        <v>4.3523879350209663E-5</v>
      </c>
      <c r="F45" s="38">
        <f t="shared" si="26"/>
        <v>4.5669195382167963E-5</v>
      </c>
      <c r="G45" s="38">
        <f t="shared" si="27"/>
        <v>0</v>
      </c>
      <c r="H45" s="38">
        <f t="shared" si="6"/>
        <v>0</v>
      </c>
      <c r="I45" s="38">
        <f t="shared" si="28"/>
        <v>0</v>
      </c>
      <c r="J45" s="37">
        <f t="shared" si="23"/>
        <v>0</v>
      </c>
      <c r="K45" s="37">
        <f t="shared" si="24"/>
        <v>0</v>
      </c>
      <c r="L45" s="37">
        <f t="shared" si="29"/>
        <v>0</v>
      </c>
      <c r="M45" s="37">
        <f t="shared" si="30"/>
        <v>0</v>
      </c>
      <c r="N45" s="37">
        <f t="shared" si="31"/>
        <v>0</v>
      </c>
      <c r="O45" s="39">
        <f t="shared" si="13"/>
        <v>0</v>
      </c>
      <c r="P45" s="39">
        <f t="shared" si="17"/>
        <v>2.2298268683094405E-5</v>
      </c>
      <c r="Q45" s="59">
        <v>1221</v>
      </c>
      <c r="R45" s="59">
        <f t="shared" si="14"/>
        <v>-118</v>
      </c>
      <c r="S45" s="59">
        <f>ROUND((P45*'Cost Pool'!$C$27),0)</f>
        <v>1103</v>
      </c>
      <c r="T45" s="59">
        <v>657</v>
      </c>
      <c r="U45" s="59">
        <f t="shared" si="15"/>
        <v>-657</v>
      </c>
      <c r="V45" s="59">
        <f>ROUND((O45*'Cost Pool'!$E$27),0)</f>
        <v>0</v>
      </c>
      <c r="W45" s="59">
        <f t="shared" si="16"/>
        <v>-118</v>
      </c>
      <c r="X45" s="108"/>
    </row>
    <row r="46" spans="1:25" x14ac:dyDescent="0.2">
      <c r="A46" s="32" t="s">
        <v>321</v>
      </c>
      <c r="B46" s="36" t="str">
        <f t="shared" si="32"/>
        <v>100-NI</v>
      </c>
      <c r="C46" s="36" t="str">
        <f t="shared" si="21"/>
        <v>100 - General Fund</v>
      </c>
      <c r="D46" s="36" t="str">
        <f t="shared" si="22"/>
        <v>Office of Neighborhood Involvement</v>
      </c>
      <c r="E46" s="38">
        <f t="shared" si="25"/>
        <v>0</v>
      </c>
      <c r="F46" s="38">
        <f t="shared" si="26"/>
        <v>0</v>
      </c>
      <c r="G46" s="38">
        <f t="shared" si="27"/>
        <v>5.2367685748447117E-5</v>
      </c>
      <c r="H46" s="38">
        <f t="shared" si="6"/>
        <v>2.6049197474718182E-5</v>
      </c>
      <c r="I46" s="38">
        <f t="shared" si="28"/>
        <v>0</v>
      </c>
      <c r="J46" s="37">
        <f t="shared" si="23"/>
        <v>0</v>
      </c>
      <c r="K46" s="37">
        <f t="shared" si="24"/>
        <v>0</v>
      </c>
      <c r="L46" s="37">
        <f t="shared" si="29"/>
        <v>0</v>
      </c>
      <c r="M46" s="37">
        <f t="shared" si="30"/>
        <v>0</v>
      </c>
      <c r="N46" s="37">
        <f t="shared" si="31"/>
        <v>0</v>
      </c>
      <c r="O46" s="39">
        <f t="shared" si="13"/>
        <v>1.9604220805791326E-5</v>
      </c>
      <c r="P46" s="39">
        <f t="shared" si="17"/>
        <v>1.3091921437111779E-5</v>
      </c>
      <c r="Q46" s="59">
        <v>721</v>
      </c>
      <c r="R46" s="59">
        <f t="shared" si="14"/>
        <v>-73</v>
      </c>
      <c r="S46" s="59">
        <f>ROUND((P46*'Cost Pool'!$C$27),0)</f>
        <v>648</v>
      </c>
      <c r="T46" s="59">
        <v>1132</v>
      </c>
      <c r="U46" s="59">
        <f t="shared" si="15"/>
        <v>-18</v>
      </c>
      <c r="V46" s="59">
        <f>ROUND((O46*'Cost Pool'!$E$27),0)</f>
        <v>1114</v>
      </c>
      <c r="W46" s="59">
        <f t="shared" si="16"/>
        <v>1041</v>
      </c>
      <c r="X46" s="108"/>
    </row>
    <row r="47" spans="1:25" x14ac:dyDescent="0.2">
      <c r="A47" s="32" t="s">
        <v>320</v>
      </c>
      <c r="B47" s="36" t="str">
        <f t="shared" si="32"/>
        <v>100-PA</v>
      </c>
      <c r="C47" s="36" t="str">
        <f t="shared" si="21"/>
        <v>100 - General Fund</v>
      </c>
      <c r="D47" s="36" t="str">
        <f t="shared" si="22"/>
        <v>Commissioner of Public Affairs</v>
      </c>
      <c r="E47" s="38">
        <f t="shared" si="25"/>
        <v>2.8970688203491077E-5</v>
      </c>
      <c r="F47" s="38">
        <f t="shared" si="26"/>
        <v>0</v>
      </c>
      <c r="G47" s="38">
        <f t="shared" si="27"/>
        <v>0</v>
      </c>
      <c r="H47" s="38">
        <f t="shared" si="6"/>
        <v>0</v>
      </c>
      <c r="I47" s="38">
        <f t="shared" si="28"/>
        <v>0</v>
      </c>
      <c r="J47" s="37">
        <f t="shared" si="23"/>
        <v>0</v>
      </c>
      <c r="K47" s="37">
        <f t="shared" si="24"/>
        <v>0</v>
      </c>
      <c r="L47" s="37">
        <f t="shared" si="29"/>
        <v>0</v>
      </c>
      <c r="M47" s="37">
        <f t="shared" si="30"/>
        <v>0</v>
      </c>
      <c r="N47" s="37">
        <f t="shared" si="31"/>
        <v>0</v>
      </c>
      <c r="O47" s="39">
        <f t="shared" si="13"/>
        <v>0</v>
      </c>
      <c r="P47" s="39">
        <f t="shared" si="17"/>
        <v>7.2426720508727694E-6</v>
      </c>
      <c r="Q47" s="59">
        <v>395</v>
      </c>
      <c r="R47" s="59">
        <f t="shared" si="14"/>
        <v>-37</v>
      </c>
      <c r="S47" s="59">
        <f>ROUND((P47*'Cost Pool'!$C$27),0)</f>
        <v>358</v>
      </c>
      <c r="T47" s="59">
        <v>0</v>
      </c>
      <c r="U47" s="59">
        <f t="shared" si="15"/>
        <v>0</v>
      </c>
      <c r="V47" s="59">
        <f>ROUND((O47*'Cost Pool'!$E$27),0)</f>
        <v>0</v>
      </c>
      <c r="W47" s="59">
        <f t="shared" si="16"/>
        <v>-37</v>
      </c>
      <c r="X47" s="108"/>
    </row>
    <row r="48" spans="1:25" x14ac:dyDescent="0.2">
      <c r="A48" s="32" t="s">
        <v>192</v>
      </c>
      <c r="B48" s="36" t="str">
        <f t="shared" si="32"/>
        <v>100-PK</v>
      </c>
      <c r="C48" s="36" t="str">
        <f t="shared" si="21"/>
        <v>100 - General Fund</v>
      </c>
      <c r="D48" s="36" t="str">
        <f t="shared" si="22"/>
        <v>Portland Parks &amp; Recreation</v>
      </c>
      <c r="E48" s="38">
        <f t="shared" si="25"/>
        <v>1.1949205146045386E-3</v>
      </c>
      <c r="F48" s="38">
        <f t="shared" si="26"/>
        <v>4.406004623845493E-4</v>
      </c>
      <c r="G48" s="38">
        <f t="shared" si="27"/>
        <v>7.7088427850544809E-4</v>
      </c>
      <c r="H48" s="38">
        <f t="shared" si="6"/>
        <v>7.4594180477163883E-4</v>
      </c>
      <c r="I48" s="38">
        <f t="shared" si="28"/>
        <v>8.8521346471095563E-4</v>
      </c>
      <c r="J48" s="37">
        <f t="shared" si="23"/>
        <v>0</v>
      </c>
      <c r="K48" s="37">
        <f t="shared" si="24"/>
        <v>0</v>
      </c>
      <c r="L48" s="37">
        <f t="shared" si="29"/>
        <v>0</v>
      </c>
      <c r="M48" s="37">
        <f t="shared" si="30"/>
        <v>0</v>
      </c>
      <c r="N48" s="37">
        <f t="shared" si="31"/>
        <v>0</v>
      </c>
      <c r="O48" s="39">
        <f t="shared" si="13"/>
        <v>6.0050988699701061E-4</v>
      </c>
      <c r="P48" s="39">
        <f t="shared" si="17"/>
        <v>6.0160131387363401E-4</v>
      </c>
      <c r="Q48" s="59">
        <v>32968</v>
      </c>
      <c r="R48" s="59">
        <f t="shared" si="14"/>
        <v>-3208</v>
      </c>
      <c r="S48" s="59">
        <f>ROUND((P48*'Cost Pool'!$C$27),0)</f>
        <v>29760</v>
      </c>
      <c r="T48" s="59">
        <v>28225</v>
      </c>
      <c r="U48" s="59">
        <f t="shared" si="15"/>
        <v>5912</v>
      </c>
      <c r="V48" s="59">
        <f>ROUND((O48*'Cost Pool'!$E$27),0)</f>
        <v>34137</v>
      </c>
      <c r="W48" s="59">
        <f t="shared" si="16"/>
        <v>30929</v>
      </c>
      <c r="X48" s="108"/>
    </row>
    <row r="49" spans="1:24" x14ac:dyDescent="0.2">
      <c r="A49" s="32" t="s">
        <v>193</v>
      </c>
      <c r="B49" s="36" t="str">
        <f t="shared" si="32"/>
        <v>100-PL</v>
      </c>
      <c r="C49" s="36" t="str">
        <f t="shared" si="21"/>
        <v>100 - General Fund</v>
      </c>
      <c r="D49" s="36" t="str">
        <f t="shared" si="22"/>
        <v>Portland Police Bureau</v>
      </c>
      <c r="E49" s="38">
        <f t="shared" si="25"/>
        <v>1.7627406412877966E-3</v>
      </c>
      <c r="F49" s="38">
        <f t="shared" si="26"/>
        <v>1.4862748223555917E-3</v>
      </c>
      <c r="G49" s="38">
        <f t="shared" si="27"/>
        <v>1.4050847077925893E-3</v>
      </c>
      <c r="H49" s="38">
        <f t="shared" si="6"/>
        <v>1.8044019647979572E-3</v>
      </c>
      <c r="I49" s="38">
        <f t="shared" si="28"/>
        <v>1.1152288399897314E-3</v>
      </c>
      <c r="J49" s="37">
        <f t="shared" si="23"/>
        <v>0</v>
      </c>
      <c r="K49" s="37">
        <f t="shared" si="24"/>
        <v>0</v>
      </c>
      <c r="L49" s="37">
        <f t="shared" si="29"/>
        <v>0</v>
      </c>
      <c r="M49" s="37">
        <f t="shared" si="30"/>
        <v>0</v>
      </c>
      <c r="N49" s="37">
        <f t="shared" si="31"/>
        <v>0</v>
      </c>
      <c r="O49" s="39">
        <f t="shared" si="13"/>
        <v>1.0811788781450696E-3</v>
      </c>
      <c r="P49" s="39">
        <f t="shared" si="17"/>
        <v>1.1635250428589945E-3</v>
      </c>
      <c r="Q49" s="59">
        <v>63803</v>
      </c>
      <c r="R49" s="59">
        <f t="shared" si="14"/>
        <v>-6246</v>
      </c>
      <c r="S49" s="59">
        <f>ROUND((P49*'Cost Pool'!$C$27),0)</f>
        <v>57557</v>
      </c>
      <c r="T49" s="59">
        <v>67688</v>
      </c>
      <c r="U49" s="59">
        <f t="shared" si="15"/>
        <v>-6226</v>
      </c>
      <c r="V49" s="59">
        <f>ROUND((O49*'Cost Pool'!$E$27),0)</f>
        <v>61462</v>
      </c>
      <c r="W49" s="59">
        <f t="shared" si="16"/>
        <v>55216</v>
      </c>
      <c r="X49" s="108"/>
    </row>
    <row r="50" spans="1:24" x14ac:dyDescent="0.2">
      <c r="A50" s="32" t="s">
        <v>184</v>
      </c>
      <c r="B50" s="36" t="str">
        <f t="shared" si="32"/>
        <v>100-PN</v>
      </c>
      <c r="C50" s="36" t="str">
        <f t="shared" si="21"/>
        <v>100 - General Fund</v>
      </c>
      <c r="D50" s="36" t="str">
        <f t="shared" si="22"/>
        <v>Bureau of Planning &amp; Sustainability</v>
      </c>
      <c r="E50" s="38">
        <f t="shared" si="25"/>
        <v>1.8647016181961625E-3</v>
      </c>
      <c r="F50" s="38">
        <f t="shared" si="26"/>
        <v>1.6507621267737847E-3</v>
      </c>
      <c r="G50" s="38">
        <f t="shared" si="27"/>
        <v>8.8173043525232859E-4</v>
      </c>
      <c r="H50" s="38">
        <f t="shared" si="6"/>
        <v>1.5213532545516589E-3</v>
      </c>
      <c r="I50" s="38">
        <f t="shared" si="28"/>
        <v>1.2810831901050158E-3</v>
      </c>
      <c r="J50" s="37">
        <f t="shared" si="23"/>
        <v>0</v>
      </c>
      <c r="K50" s="37">
        <f t="shared" si="24"/>
        <v>0</v>
      </c>
      <c r="L50" s="37">
        <f t="shared" si="29"/>
        <v>0</v>
      </c>
      <c r="M50" s="37">
        <f t="shared" si="30"/>
        <v>0</v>
      </c>
      <c r="N50" s="37">
        <f t="shared" si="31"/>
        <v>0</v>
      </c>
      <c r="O50" s="39">
        <f t="shared" si="13"/>
        <v>9.2104171997725083E-4</v>
      </c>
      <c r="P50" s="39">
        <f t="shared" si="17"/>
        <v>1.0992985450555689E-3</v>
      </c>
      <c r="Q50" s="59">
        <v>60243</v>
      </c>
      <c r="R50" s="59">
        <f t="shared" si="14"/>
        <v>-5863</v>
      </c>
      <c r="S50" s="59">
        <f>ROUND((P50*'Cost Pool'!$C$27),0)</f>
        <v>54380</v>
      </c>
      <c r="T50" s="59">
        <v>58415</v>
      </c>
      <c r="U50" s="59">
        <f t="shared" si="15"/>
        <v>-6056</v>
      </c>
      <c r="V50" s="59">
        <f>ROUND((O50*'Cost Pool'!$E$27),0)</f>
        <v>52359</v>
      </c>
      <c r="W50" s="59">
        <f t="shared" si="16"/>
        <v>46496</v>
      </c>
      <c r="X50" s="108"/>
    </row>
    <row r="51" spans="1:24" x14ac:dyDescent="0.2">
      <c r="A51" s="32" t="s">
        <v>185</v>
      </c>
      <c r="B51" s="36" t="str">
        <f t="shared" si="32"/>
        <v>100-PU</v>
      </c>
      <c r="C51" s="36" t="str">
        <f t="shared" si="21"/>
        <v>100 - General Fund</v>
      </c>
      <c r="D51" s="36" t="str">
        <f t="shared" si="22"/>
        <v>Commissioner of Public Utilities</v>
      </c>
      <c r="E51" s="38">
        <f t="shared" si="25"/>
        <v>0</v>
      </c>
      <c r="F51" s="38">
        <f t="shared" si="26"/>
        <v>0</v>
      </c>
      <c r="G51" s="38">
        <f t="shared" si="27"/>
        <v>0</v>
      </c>
      <c r="H51" s="38">
        <f t="shared" si="6"/>
        <v>0</v>
      </c>
      <c r="I51" s="38">
        <f t="shared" si="28"/>
        <v>0</v>
      </c>
      <c r="J51" s="37">
        <f t="shared" si="23"/>
        <v>0</v>
      </c>
      <c r="K51" s="37">
        <f t="shared" si="24"/>
        <v>0</v>
      </c>
      <c r="L51" s="37">
        <f t="shared" si="29"/>
        <v>0</v>
      </c>
      <c r="M51" s="37">
        <f t="shared" si="30"/>
        <v>0</v>
      </c>
      <c r="N51" s="37">
        <f t="shared" si="31"/>
        <v>0</v>
      </c>
      <c r="O51" s="39">
        <f t="shared" si="13"/>
        <v>0</v>
      </c>
      <c r="P51" s="39">
        <f t="shared" si="17"/>
        <v>0</v>
      </c>
      <c r="Q51" s="59">
        <v>0</v>
      </c>
      <c r="R51" s="59">
        <f t="shared" si="14"/>
        <v>0</v>
      </c>
      <c r="S51" s="59">
        <f>ROUND((P51*'Cost Pool'!$C$27),0)</f>
        <v>0</v>
      </c>
      <c r="T51" s="59">
        <v>0</v>
      </c>
      <c r="U51" s="59">
        <f t="shared" si="15"/>
        <v>0</v>
      </c>
      <c r="V51" s="59">
        <f>ROUND((O51*'Cost Pool'!$E$27),0)</f>
        <v>0</v>
      </c>
      <c r="W51" s="59">
        <f t="shared" si="16"/>
        <v>0</v>
      </c>
      <c r="X51" s="108"/>
    </row>
    <row r="52" spans="1:24" x14ac:dyDescent="0.2">
      <c r="A52" s="32" t="s">
        <v>322</v>
      </c>
      <c r="B52" s="36" t="str">
        <f t="shared" si="32"/>
        <v>100-PN</v>
      </c>
      <c r="C52" s="36" t="str">
        <f t="shared" si="21"/>
        <v>100 - General Fund</v>
      </c>
      <c r="D52" s="36" t="str">
        <f t="shared" si="22"/>
        <v>Bureau of Planning &amp; Sustainability</v>
      </c>
      <c r="E52" s="38">
        <f t="shared" si="25"/>
        <v>0</v>
      </c>
      <c r="F52" s="38">
        <f t="shared" si="26"/>
        <v>0</v>
      </c>
      <c r="G52" s="38">
        <f t="shared" si="27"/>
        <v>0</v>
      </c>
      <c r="H52" s="38">
        <f t="shared" si="6"/>
        <v>0</v>
      </c>
      <c r="I52" s="38">
        <f t="shared" si="28"/>
        <v>0</v>
      </c>
      <c r="J52" s="37">
        <f t="shared" si="23"/>
        <v>0</v>
      </c>
      <c r="K52" s="37">
        <f t="shared" si="24"/>
        <v>0</v>
      </c>
      <c r="L52" s="37">
        <f t="shared" si="29"/>
        <v>0</v>
      </c>
      <c r="M52" s="37">
        <f t="shared" si="30"/>
        <v>0</v>
      </c>
      <c r="N52" s="37">
        <f t="shared" si="31"/>
        <v>0</v>
      </c>
      <c r="O52" s="39">
        <f t="shared" si="13"/>
        <v>0</v>
      </c>
      <c r="P52" s="39">
        <f t="shared" si="17"/>
        <v>0</v>
      </c>
      <c r="Q52" s="59">
        <v>0</v>
      </c>
      <c r="R52" s="59">
        <f t="shared" si="14"/>
        <v>0</v>
      </c>
      <c r="S52" s="59">
        <f>ROUND((P52*'Cost Pool'!$C$27),0)</f>
        <v>0</v>
      </c>
      <c r="T52" s="59">
        <v>0</v>
      </c>
      <c r="U52" s="59">
        <f t="shared" si="15"/>
        <v>0</v>
      </c>
      <c r="V52" s="59">
        <f>ROUND((O52*'Cost Pool'!$E$27),0)</f>
        <v>0</v>
      </c>
      <c r="W52" s="59">
        <f t="shared" si="16"/>
        <v>0</v>
      </c>
      <c r="X52" s="108"/>
    </row>
    <row r="53" spans="1:24" x14ac:dyDescent="0.2">
      <c r="A53" s="32" t="s">
        <v>188</v>
      </c>
      <c r="B53" s="36">
        <f t="shared" si="32"/>
        <v>200</v>
      </c>
      <c r="C53" s="36" t="str">
        <f t="shared" si="21"/>
        <v>200 - Transportation Operating Fund</v>
      </c>
      <c r="D53" s="36" t="e">
        <f t="shared" si="22"/>
        <v>#N/A</v>
      </c>
      <c r="E53" s="38">
        <f t="shared" si="25"/>
        <v>6.2411254632060075E-3</v>
      </c>
      <c r="F53" s="38">
        <f t="shared" si="26"/>
        <v>6.9968227614035225E-3</v>
      </c>
      <c r="G53" s="38">
        <f t="shared" si="27"/>
        <v>4.6770590838273061E-3</v>
      </c>
      <c r="H53" s="38">
        <f t="shared" si="6"/>
        <v>3.150444406494863E-3</v>
      </c>
      <c r="I53" s="38">
        <f t="shared" si="28"/>
        <v>3.1769703137264718E-3</v>
      </c>
      <c r="J53" s="37">
        <f t="shared" si="23"/>
        <v>0</v>
      </c>
      <c r="K53" s="37">
        <f t="shared" si="24"/>
        <v>0</v>
      </c>
      <c r="L53" s="37">
        <f t="shared" si="29"/>
        <v>0</v>
      </c>
      <c r="M53" s="37">
        <f t="shared" si="30"/>
        <v>0</v>
      </c>
      <c r="N53" s="37">
        <f t="shared" si="31"/>
        <v>0</v>
      </c>
      <c r="O53" s="39">
        <f t="shared" si="13"/>
        <v>2.7511184510121602E-3</v>
      </c>
      <c r="P53" s="39">
        <f t="shared" si="17"/>
        <v>4.4787518271092088E-3</v>
      </c>
      <c r="Q53" s="59">
        <v>245605</v>
      </c>
      <c r="R53" s="59">
        <f t="shared" si="14"/>
        <v>-24050</v>
      </c>
      <c r="S53" s="59">
        <f>ROUND((P53*'Cost Pool'!$C$27),0)</f>
        <v>221555</v>
      </c>
      <c r="T53" s="59">
        <v>213552</v>
      </c>
      <c r="U53" s="59">
        <f t="shared" si="15"/>
        <v>-57158</v>
      </c>
      <c r="V53" s="59">
        <f>ROUND((O53*'Cost Pool'!$E$27),0)</f>
        <v>156394</v>
      </c>
      <c r="W53" s="59">
        <f t="shared" si="16"/>
        <v>132344</v>
      </c>
      <c r="X53" s="108"/>
    </row>
    <row r="54" spans="1:24" x14ac:dyDescent="0.2">
      <c r="A54" s="32" t="s">
        <v>194</v>
      </c>
      <c r="B54" s="36">
        <f t="shared" si="32"/>
        <v>602</v>
      </c>
      <c r="C54" s="36" t="str">
        <f t="shared" si="21"/>
        <v>602 - Water Fund</v>
      </c>
      <c r="D54" s="36" t="e">
        <f t="shared" si="22"/>
        <v>#N/A</v>
      </c>
      <c r="E54" s="38">
        <f t="shared" si="25"/>
        <v>1.1667667267086666E-4</v>
      </c>
      <c r="F54" s="38">
        <f t="shared" si="26"/>
        <v>0</v>
      </c>
      <c r="G54" s="38">
        <f t="shared" si="27"/>
        <v>1.1760158820843021E-4</v>
      </c>
      <c r="H54" s="38">
        <f t="shared" si="6"/>
        <v>1.1671585679216002E-5</v>
      </c>
      <c r="I54" s="38">
        <f t="shared" si="28"/>
        <v>-1.5823469139158057E-5</v>
      </c>
      <c r="J54" s="37">
        <f t="shared" si="23"/>
        <v>0</v>
      </c>
      <c r="K54" s="37">
        <f t="shared" si="24"/>
        <v>0</v>
      </c>
      <c r="L54" s="37">
        <f t="shared" si="29"/>
        <v>0</v>
      </c>
      <c r="M54" s="37">
        <f t="shared" si="30"/>
        <v>0</v>
      </c>
      <c r="N54" s="37">
        <f t="shared" si="31"/>
        <v>0</v>
      </c>
      <c r="O54" s="39">
        <f t="shared" si="13"/>
        <v>2.8362426187122035E-5</v>
      </c>
      <c r="P54" s="39">
        <f t="shared" si="17"/>
        <v>5.856956521982422E-5</v>
      </c>
      <c r="Q54" s="59">
        <v>3212</v>
      </c>
      <c r="R54" s="59">
        <f t="shared" si="14"/>
        <v>-315</v>
      </c>
      <c r="S54" s="59">
        <f>ROUND((P54*'Cost Pool'!$C$27),0)</f>
        <v>2897</v>
      </c>
      <c r="T54" s="59">
        <v>1865</v>
      </c>
      <c r="U54" s="59">
        <f t="shared" si="15"/>
        <v>-253</v>
      </c>
      <c r="V54" s="59">
        <f>ROUND((O54*'Cost Pool'!$E$27),0)</f>
        <v>1612</v>
      </c>
      <c r="W54" s="59">
        <f t="shared" si="16"/>
        <v>1297</v>
      </c>
      <c r="X54" s="108"/>
    </row>
    <row r="55" spans="1:24" x14ac:dyDescent="0.2">
      <c r="A55" s="32" t="s">
        <v>189</v>
      </c>
      <c r="B55" s="36" t="str">
        <f t="shared" si="32"/>
        <v>PDC</v>
      </c>
      <c r="C55" s="36" t="str">
        <f t="shared" si="21"/>
        <v>PDC - Portland Development Commission</v>
      </c>
      <c r="D55" s="36" t="e">
        <f t="shared" si="22"/>
        <v>#N/A</v>
      </c>
      <c r="E55" s="38">
        <f t="shared" si="25"/>
        <v>3.8549268354355241E-4</v>
      </c>
      <c r="F55" s="38">
        <f t="shared" si="26"/>
        <v>4.7911954335899676E-4</v>
      </c>
      <c r="G55" s="38">
        <f t="shared" si="27"/>
        <v>5.050444348951737E-5</v>
      </c>
      <c r="H55" s="38">
        <f t="shared" si="6"/>
        <v>0</v>
      </c>
      <c r="I55" s="38">
        <f t="shared" si="28"/>
        <v>0</v>
      </c>
      <c r="J55" s="37">
        <f t="shared" si="23"/>
        <v>0</v>
      </c>
      <c r="K55" s="37">
        <f t="shared" si="24"/>
        <v>0</v>
      </c>
      <c r="L55" s="37">
        <f t="shared" si="29"/>
        <v>0</v>
      </c>
      <c r="M55" s="37">
        <f t="shared" si="30"/>
        <v>0</v>
      </c>
      <c r="N55" s="37">
        <f t="shared" si="31"/>
        <v>0</v>
      </c>
      <c r="O55" s="39">
        <f t="shared" si="13"/>
        <v>1.2626110872379343E-5</v>
      </c>
      <c r="P55" s="39">
        <f t="shared" si="17"/>
        <v>2.287791675980166E-4</v>
      </c>
      <c r="Q55" s="59">
        <v>12531</v>
      </c>
      <c r="R55" s="59">
        <f t="shared" si="14"/>
        <v>-1214</v>
      </c>
      <c r="S55" s="59">
        <f>ROUND((P55*'Cost Pool'!$C$27),0)</f>
        <v>11317</v>
      </c>
      <c r="T55" s="59">
        <v>7617</v>
      </c>
      <c r="U55" s="59">
        <f t="shared" si="15"/>
        <v>-6899</v>
      </c>
      <c r="V55" s="59">
        <f>ROUND((O55*'Cost Pool'!$E$27),0)</f>
        <v>718</v>
      </c>
      <c r="W55" s="59">
        <f t="shared" si="16"/>
        <v>-496</v>
      </c>
      <c r="X55" s="108"/>
    </row>
    <row r="56" spans="1:24" x14ac:dyDescent="0.2">
      <c r="A56" s="32" t="s">
        <v>195</v>
      </c>
      <c r="B56" s="36" t="str">
        <f t="shared" si="32"/>
        <v>100-HC</v>
      </c>
      <c r="C56" s="36" t="str">
        <f t="shared" si="21"/>
        <v>100 - General Fund</v>
      </c>
      <c r="D56" s="36" t="str">
        <f t="shared" si="22"/>
        <v>Portland Housing Bureau</v>
      </c>
      <c r="E56" s="38">
        <f t="shared" si="25"/>
        <v>7.8886590863616289E-3</v>
      </c>
      <c r="F56" s="38">
        <f t="shared" si="26"/>
        <v>1.4357583358944208E-2</v>
      </c>
      <c r="G56" s="38">
        <f t="shared" si="27"/>
        <v>9.1044300893597316E-3</v>
      </c>
      <c r="H56" s="38">
        <f t="shared" si="6"/>
        <v>7.2859910563560538E-3</v>
      </c>
      <c r="I56" s="38">
        <f t="shared" si="28"/>
        <v>8.6464539064074371E-3</v>
      </c>
      <c r="J56" s="37">
        <f t="shared" si="23"/>
        <v>0</v>
      </c>
      <c r="K56" s="37">
        <f t="shared" si="24"/>
        <v>0</v>
      </c>
      <c r="L56" s="37">
        <f t="shared" si="29"/>
        <v>0</v>
      </c>
      <c r="M56" s="37">
        <f t="shared" si="30"/>
        <v>0</v>
      </c>
      <c r="N56" s="37">
        <f t="shared" si="31"/>
        <v>0</v>
      </c>
      <c r="O56" s="39">
        <f t="shared" si="13"/>
        <v>6.2592187630308056E-3</v>
      </c>
      <c r="P56" s="39">
        <f t="shared" si="17"/>
        <v>7.837668133666393E-3</v>
      </c>
      <c r="Q56" s="59">
        <v>430096</v>
      </c>
      <c r="R56" s="59">
        <f t="shared" si="14"/>
        <v>-42383</v>
      </c>
      <c r="S56" s="59">
        <f>ROUND((P56*'Cost Pool'!$C$27),0)</f>
        <v>387713</v>
      </c>
      <c r="T56" s="59">
        <v>442954</v>
      </c>
      <c r="U56" s="59">
        <f t="shared" si="15"/>
        <v>-87134</v>
      </c>
      <c r="V56" s="59">
        <f>ROUND((O56*'Cost Pool'!$E$27),0)</f>
        <v>355820</v>
      </c>
      <c r="W56" s="59">
        <f t="shared" si="16"/>
        <v>313437</v>
      </c>
      <c r="X56" s="108"/>
    </row>
    <row r="57" spans="1:24" x14ac:dyDescent="0.2">
      <c r="A57" s="32" t="s">
        <v>196</v>
      </c>
      <c r="B57" s="36" t="str">
        <f t="shared" si="32"/>
        <v>100-HC</v>
      </c>
      <c r="C57" s="36" t="str">
        <f t="shared" si="21"/>
        <v>100 - General Fund</v>
      </c>
      <c r="D57" s="36" t="str">
        <f t="shared" si="22"/>
        <v>Portland Housing Bureau</v>
      </c>
      <c r="E57" s="38">
        <f t="shared" si="25"/>
        <v>3.5577359866172152E-3</v>
      </c>
      <c r="F57" s="38">
        <f t="shared" si="26"/>
        <v>3.4883746023043824E-3</v>
      </c>
      <c r="G57" s="38">
        <f t="shared" si="27"/>
        <v>5.329400726811425E-3</v>
      </c>
      <c r="H57" s="38">
        <f t="shared" si="6"/>
        <v>4.1620436722430623E-3</v>
      </c>
      <c r="I57" s="38">
        <f t="shared" si="28"/>
        <v>5.4305991965204765E-3</v>
      </c>
      <c r="J57" s="37">
        <f t="shared" si="23"/>
        <v>0</v>
      </c>
      <c r="K57" s="37">
        <f t="shared" si="24"/>
        <v>0</v>
      </c>
      <c r="L57" s="37">
        <f t="shared" si="29"/>
        <v>0</v>
      </c>
      <c r="M57" s="37">
        <f t="shared" si="30"/>
        <v>0</v>
      </c>
      <c r="N57" s="37">
        <f t="shared" si="31"/>
        <v>0</v>
      </c>
      <c r="O57" s="39">
        <f t="shared" si="13"/>
        <v>3.7305108988937409E-3</v>
      </c>
      <c r="P57" s="39">
        <f t="shared" si="17"/>
        <v>3.0938778289332555E-3</v>
      </c>
      <c r="Q57" s="59">
        <v>169827</v>
      </c>
      <c r="R57" s="59">
        <f t="shared" si="14"/>
        <v>-16779</v>
      </c>
      <c r="S57" s="59">
        <f>ROUND((P57*'Cost Pool'!$C$27),0)</f>
        <v>153048</v>
      </c>
      <c r="T57" s="59">
        <v>187126</v>
      </c>
      <c r="U57" s="59">
        <f t="shared" si="15"/>
        <v>24944</v>
      </c>
      <c r="V57" s="59">
        <f>ROUND((O57*'Cost Pool'!$E$27),0)</f>
        <v>212070</v>
      </c>
      <c r="W57" s="59">
        <f t="shared" si="16"/>
        <v>195291</v>
      </c>
      <c r="X57" s="108"/>
    </row>
    <row r="58" spans="1:24" ht="13.9" customHeight="1" x14ac:dyDescent="0.2">
      <c r="A58" s="32" t="s">
        <v>197</v>
      </c>
      <c r="B58" s="36" t="str">
        <f t="shared" si="32"/>
        <v>Excluded</v>
      </c>
      <c r="C58" s="36" t="e">
        <f t="shared" si="21"/>
        <v>#N/A</v>
      </c>
      <c r="D58" s="36" t="e">
        <f t="shared" si="22"/>
        <v>#N/A</v>
      </c>
      <c r="E58" s="38">
        <f t="shared" si="25"/>
        <v>0</v>
      </c>
      <c r="F58" s="38">
        <f t="shared" si="26"/>
        <v>0</v>
      </c>
      <c r="G58" s="38">
        <f t="shared" si="27"/>
        <v>0</v>
      </c>
      <c r="H58" s="38">
        <f t="shared" si="6"/>
        <v>0</v>
      </c>
      <c r="I58" s="38">
        <f t="shared" si="28"/>
        <v>0</v>
      </c>
      <c r="J58" s="37">
        <f t="shared" si="23"/>
        <v>0</v>
      </c>
      <c r="K58" s="37">
        <f t="shared" si="24"/>
        <v>0</v>
      </c>
      <c r="L58" s="37">
        <f t="shared" si="29"/>
        <v>0</v>
      </c>
      <c r="M58" s="37">
        <f t="shared" si="30"/>
        <v>0</v>
      </c>
      <c r="N58" s="37">
        <f t="shared" si="31"/>
        <v>0</v>
      </c>
      <c r="O58" s="39">
        <f t="shared" si="13"/>
        <v>0</v>
      </c>
      <c r="P58" s="39">
        <f t="shared" si="17"/>
        <v>0</v>
      </c>
      <c r="Q58" s="59">
        <v>0</v>
      </c>
      <c r="R58" s="59">
        <f t="shared" si="14"/>
        <v>0</v>
      </c>
      <c r="S58" s="59">
        <f>ROUND((P58*'Cost Pool'!$C$27),0)</f>
        <v>0</v>
      </c>
      <c r="T58" s="59">
        <v>0</v>
      </c>
      <c r="U58" s="59">
        <f t="shared" si="15"/>
        <v>0</v>
      </c>
      <c r="V58" s="59">
        <f>ROUND((O58*'Cost Pool'!$E$27),0)</f>
        <v>0</v>
      </c>
      <c r="W58" s="59">
        <f t="shared" si="16"/>
        <v>0</v>
      </c>
      <c r="X58" s="108"/>
    </row>
    <row r="59" spans="1:24" x14ac:dyDescent="0.2">
      <c r="A59" s="32" t="s">
        <v>198</v>
      </c>
      <c r="B59" s="36">
        <f t="shared" si="32"/>
        <v>221</v>
      </c>
      <c r="C59" s="36" t="str">
        <f t="shared" si="21"/>
        <v>221 - Tax Increment Financing Reimbursement Fund</v>
      </c>
      <c r="D59" s="36" t="e">
        <f t="shared" si="22"/>
        <v>#N/A</v>
      </c>
      <c r="E59" s="38">
        <f t="shared" si="25"/>
        <v>6.3268600532940455E-3</v>
      </c>
      <c r="F59" s="38">
        <f t="shared" si="26"/>
        <v>1.263841132302255E-2</v>
      </c>
      <c r="G59" s="38">
        <f t="shared" si="27"/>
        <v>8.7227178385244405E-3</v>
      </c>
      <c r="H59" s="38">
        <f t="shared" si="6"/>
        <v>2.4515960883412999E-2</v>
      </c>
      <c r="I59" s="38">
        <f t="shared" si="28"/>
        <v>1.9920780407917369E-2</v>
      </c>
      <c r="J59" s="37">
        <f t="shared" si="23"/>
        <v>0</v>
      </c>
      <c r="K59" s="37">
        <f t="shared" si="24"/>
        <v>0</v>
      </c>
      <c r="L59" s="37">
        <f t="shared" si="29"/>
        <v>0</v>
      </c>
      <c r="M59" s="37">
        <f t="shared" si="30"/>
        <v>0</v>
      </c>
      <c r="N59" s="37">
        <f t="shared" si="31"/>
        <v>0</v>
      </c>
      <c r="O59" s="39">
        <f t="shared" si="13"/>
        <v>1.3289864782463703E-2</v>
      </c>
      <c r="P59" s="104">
        <f t="shared" si="17"/>
        <v>6.9219973037102592E-3</v>
      </c>
      <c r="Q59" s="59">
        <v>379934</v>
      </c>
      <c r="R59" s="59">
        <f t="shared" si="14"/>
        <v>-37517</v>
      </c>
      <c r="S59" s="59">
        <f>ROUND((P59*'Cost Pool'!$C$27),0)</f>
        <v>342417</v>
      </c>
      <c r="T59" s="59">
        <v>661441</v>
      </c>
      <c r="U59" s="59">
        <f t="shared" si="15"/>
        <v>94052</v>
      </c>
      <c r="V59" s="59">
        <f>ROUND((O59*'Cost Pool'!$E$27),0)</f>
        <v>755493</v>
      </c>
      <c r="W59" s="59">
        <f t="shared" si="16"/>
        <v>717976</v>
      </c>
      <c r="X59" s="108"/>
    </row>
    <row r="60" spans="1:24" x14ac:dyDescent="0.2">
      <c r="A60" s="32" t="s">
        <v>199</v>
      </c>
      <c r="B60" s="36" t="str">
        <f t="shared" si="32"/>
        <v>Excluded</v>
      </c>
      <c r="C60" s="36" t="e">
        <f t="shared" si="21"/>
        <v>#N/A</v>
      </c>
      <c r="D60" s="36" t="e">
        <f t="shared" si="22"/>
        <v>#N/A</v>
      </c>
      <c r="E60" s="38">
        <f t="shared" si="25"/>
        <v>0</v>
      </c>
      <c r="F60" s="38">
        <f t="shared" si="26"/>
        <v>0</v>
      </c>
      <c r="G60" s="38">
        <f t="shared" si="27"/>
        <v>0</v>
      </c>
      <c r="H60" s="38">
        <f t="shared" si="6"/>
        <v>0</v>
      </c>
      <c r="I60" s="38">
        <f t="shared" si="28"/>
        <v>0</v>
      </c>
      <c r="J60" s="37">
        <f t="shared" si="23"/>
        <v>0</v>
      </c>
      <c r="K60" s="37">
        <f t="shared" si="24"/>
        <v>0</v>
      </c>
      <c r="L60" s="37">
        <f t="shared" si="29"/>
        <v>0</v>
      </c>
      <c r="M60" s="37">
        <f t="shared" si="30"/>
        <v>0</v>
      </c>
      <c r="N60" s="37">
        <f t="shared" si="31"/>
        <v>0</v>
      </c>
      <c r="O60" s="39">
        <f t="shared" si="13"/>
        <v>0</v>
      </c>
      <c r="P60" s="39">
        <f t="shared" si="17"/>
        <v>0</v>
      </c>
      <c r="Q60" s="59">
        <v>0</v>
      </c>
      <c r="R60" s="59">
        <f t="shared" si="14"/>
        <v>0</v>
      </c>
      <c r="S60" s="59">
        <v>0</v>
      </c>
      <c r="T60" s="59">
        <v>0</v>
      </c>
      <c r="U60" s="59">
        <f t="shared" si="15"/>
        <v>0</v>
      </c>
      <c r="V60" s="59">
        <f>ROUND((O60*'Cost Pool'!$E$27),0)</f>
        <v>0</v>
      </c>
      <c r="W60" s="59">
        <f t="shared" si="16"/>
        <v>0</v>
      </c>
      <c r="X60" s="108"/>
    </row>
    <row r="61" spans="1:24" s="32" customFormat="1" x14ac:dyDescent="0.2">
      <c r="A61" s="32" t="s">
        <v>410</v>
      </c>
      <c r="B61" s="36">
        <f t="shared" ref="B61:B62" si="33">VLOOKUP(A61,Crosswalk,2,FALSE)</f>
        <v>223</v>
      </c>
      <c r="C61" s="36" t="str">
        <f t="shared" ref="C61:C99" si="34">CONCATENATE((LEFT(B61,3))," - ",(VLOOKUP((LEFT(B61,3)),Funds,2,FALSE)))</f>
        <v>223 - Arts Education &amp; Access Fund</v>
      </c>
      <c r="D61" s="36" t="e">
        <f t="shared" ref="D61:D62" si="35">VLOOKUP((RIGHT(B61,2)),Bureaus,2,FALSE)</f>
        <v>#N/A</v>
      </c>
      <c r="E61" s="38">
        <f t="shared" si="25"/>
        <v>0</v>
      </c>
      <c r="F61" s="38">
        <f t="shared" si="26"/>
        <v>0</v>
      </c>
      <c r="G61" s="38">
        <f t="shared" si="27"/>
        <v>0</v>
      </c>
      <c r="H61" s="38">
        <f t="shared" si="6"/>
        <v>0</v>
      </c>
      <c r="I61" s="38">
        <f t="shared" si="28"/>
        <v>0</v>
      </c>
      <c r="J61" s="37">
        <f t="shared" si="23"/>
        <v>0</v>
      </c>
      <c r="K61" s="37">
        <f t="shared" si="24"/>
        <v>0</v>
      </c>
      <c r="L61" s="37">
        <f t="shared" si="29"/>
        <v>0</v>
      </c>
      <c r="M61" s="37">
        <f t="shared" si="30"/>
        <v>0</v>
      </c>
      <c r="N61" s="37">
        <f t="shared" si="31"/>
        <v>0</v>
      </c>
      <c r="O61" s="39">
        <f t="shared" si="13"/>
        <v>0</v>
      </c>
      <c r="P61" s="39">
        <f t="shared" ref="P61" si="36">(AVERAGE(E61:G61)*0.75)+(AVERAGE(J61:L61)*0.25)</f>
        <v>0</v>
      </c>
      <c r="Q61" s="59">
        <v>25000</v>
      </c>
      <c r="R61" s="59">
        <f t="shared" si="14"/>
        <v>0</v>
      </c>
      <c r="S61" s="62">
        <v>25000</v>
      </c>
      <c r="T61" s="59">
        <v>25000</v>
      </c>
      <c r="U61" s="59">
        <f t="shared" si="15"/>
        <v>0</v>
      </c>
      <c r="V61" s="62">
        <v>25000</v>
      </c>
      <c r="W61" s="62">
        <f t="shared" ref="W61:W62" si="37">V61+R61</f>
        <v>25000</v>
      </c>
      <c r="X61" s="108"/>
    </row>
    <row r="62" spans="1:24" s="32" customFormat="1" x14ac:dyDescent="0.2">
      <c r="A62" s="32" t="s">
        <v>424</v>
      </c>
      <c r="B62" s="36">
        <f t="shared" si="33"/>
        <v>224</v>
      </c>
      <c r="C62" s="36" t="str">
        <f t="shared" si="34"/>
        <v>224 - Community Solar Fund</v>
      </c>
      <c r="D62" s="36" t="e">
        <f t="shared" si="35"/>
        <v>#N/A</v>
      </c>
      <c r="E62" s="38">
        <f t="shared" si="25"/>
        <v>7.7148655977416375E-7</v>
      </c>
      <c r="F62" s="38">
        <f t="shared" si="26"/>
        <v>5.4015262975662016E-6</v>
      </c>
      <c r="G62" s="38">
        <f t="shared" si="27"/>
        <v>0</v>
      </c>
      <c r="H62" s="38">
        <f t="shared" si="6"/>
        <v>7.6306693444798783E-9</v>
      </c>
      <c r="I62" s="38">
        <f t="shared" si="28"/>
        <v>0</v>
      </c>
      <c r="J62" s="37">
        <f t="shared" si="23"/>
        <v>0</v>
      </c>
      <c r="K62" s="37">
        <f t="shared" si="24"/>
        <v>0</v>
      </c>
      <c r="L62" s="37">
        <f t="shared" si="29"/>
        <v>0</v>
      </c>
      <c r="M62" s="37">
        <f t="shared" si="30"/>
        <v>0</v>
      </c>
      <c r="N62" s="37">
        <f t="shared" si="31"/>
        <v>0</v>
      </c>
      <c r="O62" s="39">
        <f t="shared" si="13"/>
        <v>1.9076673361199696E-9</v>
      </c>
      <c r="P62" s="39">
        <f t="shared" ref="P62" si="38">(AVERAGE(E62:G62)*0.75)+(AVERAGE(J62:L62)*0.25)</f>
        <v>1.5432532143350913E-6</v>
      </c>
      <c r="Q62" s="59">
        <v>85</v>
      </c>
      <c r="R62" s="59">
        <f t="shared" si="14"/>
        <v>-9</v>
      </c>
      <c r="S62" s="59">
        <f>ROUND((P62*'Cost Pool'!$C$27),0)</f>
        <v>76</v>
      </c>
      <c r="T62" s="59">
        <v>78</v>
      </c>
      <c r="U62" s="59">
        <f t="shared" si="15"/>
        <v>-78</v>
      </c>
      <c r="V62" s="59">
        <f>ROUND((O62*'Cost Pool'!$E$27),0)</f>
        <v>0</v>
      </c>
      <c r="W62" s="59">
        <f t="shared" si="37"/>
        <v>-9</v>
      </c>
      <c r="X62" s="108"/>
    </row>
    <row r="63" spans="1:24" x14ac:dyDescent="0.2">
      <c r="A63" s="32" t="s">
        <v>200</v>
      </c>
      <c r="B63" s="36" t="str">
        <f t="shared" si="32"/>
        <v>Excluded</v>
      </c>
      <c r="C63" s="36" t="e">
        <f t="shared" si="34"/>
        <v>#N/A</v>
      </c>
      <c r="D63" s="36" t="e">
        <f t="shared" si="22"/>
        <v>#N/A</v>
      </c>
      <c r="E63" s="38">
        <f t="shared" si="25"/>
        <v>0</v>
      </c>
      <c r="F63" s="38">
        <f t="shared" si="26"/>
        <v>0</v>
      </c>
      <c r="G63" s="38">
        <f t="shared" si="27"/>
        <v>0</v>
      </c>
      <c r="H63" s="38">
        <f t="shared" si="6"/>
        <v>0</v>
      </c>
      <c r="I63" s="38">
        <f t="shared" si="28"/>
        <v>0</v>
      </c>
      <c r="J63" s="37">
        <f t="shared" si="23"/>
        <v>0</v>
      </c>
      <c r="K63" s="37">
        <f t="shared" si="24"/>
        <v>0</v>
      </c>
      <c r="L63" s="37">
        <f t="shared" si="29"/>
        <v>0</v>
      </c>
      <c r="M63" s="37">
        <f t="shared" si="30"/>
        <v>0</v>
      </c>
      <c r="N63" s="37">
        <f t="shared" si="31"/>
        <v>0</v>
      </c>
      <c r="O63" s="39">
        <f t="shared" si="13"/>
        <v>0</v>
      </c>
      <c r="P63" s="39">
        <f t="shared" si="17"/>
        <v>0</v>
      </c>
      <c r="Q63" s="59">
        <v>0</v>
      </c>
      <c r="R63" s="59">
        <f t="shared" si="14"/>
        <v>0</v>
      </c>
      <c r="S63" s="59">
        <f>ROUND((P63*'Cost Pool'!$C$27),0)</f>
        <v>0</v>
      </c>
      <c r="T63" s="59">
        <v>0</v>
      </c>
      <c r="U63" s="59">
        <f t="shared" si="15"/>
        <v>0</v>
      </c>
      <c r="V63" s="59">
        <f>ROUND((O63*'Cost Pool'!$E$27),0)</f>
        <v>0</v>
      </c>
      <c r="W63" s="59">
        <f t="shared" si="16"/>
        <v>0</v>
      </c>
      <c r="X63" s="108"/>
    </row>
    <row r="64" spans="1:24" x14ac:dyDescent="0.2">
      <c r="A64" s="32" t="s">
        <v>201</v>
      </c>
      <c r="B64" s="36" t="str">
        <f t="shared" si="32"/>
        <v>Excluded</v>
      </c>
      <c r="C64" s="36" t="e">
        <f t="shared" si="34"/>
        <v>#N/A</v>
      </c>
      <c r="D64" s="36" t="e">
        <f t="shared" si="22"/>
        <v>#N/A</v>
      </c>
      <c r="E64" s="38">
        <f t="shared" si="25"/>
        <v>0</v>
      </c>
      <c r="F64" s="38">
        <f t="shared" si="26"/>
        <v>0</v>
      </c>
      <c r="G64" s="38">
        <f t="shared" si="27"/>
        <v>0</v>
      </c>
      <c r="H64" s="38">
        <f t="shared" si="6"/>
        <v>0</v>
      </c>
      <c r="I64" s="38">
        <f t="shared" si="28"/>
        <v>0</v>
      </c>
      <c r="J64" s="37">
        <f t="shared" si="23"/>
        <v>0</v>
      </c>
      <c r="K64" s="37">
        <f t="shared" si="24"/>
        <v>0</v>
      </c>
      <c r="L64" s="37">
        <f t="shared" si="29"/>
        <v>0</v>
      </c>
      <c r="M64" s="37">
        <f t="shared" si="30"/>
        <v>0</v>
      </c>
      <c r="N64" s="37">
        <f t="shared" si="31"/>
        <v>0</v>
      </c>
      <c r="O64" s="39">
        <f t="shared" si="13"/>
        <v>0</v>
      </c>
      <c r="P64" s="39">
        <f t="shared" si="17"/>
        <v>0</v>
      </c>
      <c r="Q64" s="59">
        <v>0</v>
      </c>
      <c r="R64" s="59">
        <f t="shared" si="14"/>
        <v>0</v>
      </c>
      <c r="S64" s="59">
        <f>ROUND((P64*'Cost Pool'!$C$27),0)</f>
        <v>0</v>
      </c>
      <c r="T64" s="59">
        <v>0</v>
      </c>
      <c r="U64" s="59">
        <f t="shared" si="15"/>
        <v>0</v>
      </c>
      <c r="V64" s="59">
        <f>ROUND((O64*'Cost Pool'!$E$27),0)</f>
        <v>0</v>
      </c>
      <c r="W64" s="59">
        <f t="shared" si="16"/>
        <v>0</v>
      </c>
      <c r="X64" s="108"/>
    </row>
    <row r="65" spans="1:24" x14ac:dyDescent="0.2">
      <c r="A65" s="32" t="s">
        <v>202</v>
      </c>
      <c r="B65" s="36" t="str">
        <f t="shared" si="32"/>
        <v>Excluded</v>
      </c>
      <c r="C65" s="36" t="e">
        <f t="shared" si="34"/>
        <v>#N/A</v>
      </c>
      <c r="D65" s="36" t="e">
        <f t="shared" si="22"/>
        <v>#N/A</v>
      </c>
      <c r="E65" s="38">
        <f t="shared" si="25"/>
        <v>0</v>
      </c>
      <c r="F65" s="38">
        <f t="shared" si="26"/>
        <v>0</v>
      </c>
      <c r="G65" s="38">
        <f t="shared" si="27"/>
        <v>0</v>
      </c>
      <c r="H65" s="38">
        <f t="shared" si="6"/>
        <v>0</v>
      </c>
      <c r="I65" s="38">
        <f t="shared" si="28"/>
        <v>0</v>
      </c>
      <c r="J65" s="37">
        <f t="shared" si="23"/>
        <v>0</v>
      </c>
      <c r="K65" s="37">
        <f t="shared" ref="K65:K99" si="39">IF($B65="Excluded",0,(IF(ISNA(VLOOKUP($A65,FY2014_15P,6,FALSE)),0,(VLOOKUP($A65,FY2014_15P,6,FALSE)))))</f>
        <v>0</v>
      </c>
      <c r="L65" s="37">
        <f t="shared" si="29"/>
        <v>0</v>
      </c>
      <c r="M65" s="37">
        <f t="shared" si="30"/>
        <v>0</v>
      </c>
      <c r="N65" s="37">
        <f t="shared" si="31"/>
        <v>0</v>
      </c>
      <c r="O65" s="39">
        <f t="shared" si="13"/>
        <v>0</v>
      </c>
      <c r="P65" s="39">
        <f t="shared" si="17"/>
        <v>0</v>
      </c>
      <c r="Q65" s="59">
        <v>0</v>
      </c>
      <c r="R65" s="59">
        <f t="shared" si="14"/>
        <v>0</v>
      </c>
      <c r="S65" s="59">
        <f>ROUND((P65*'Cost Pool'!$C$27),0)</f>
        <v>0</v>
      </c>
      <c r="T65" s="59">
        <v>0</v>
      </c>
      <c r="U65" s="59">
        <f t="shared" si="15"/>
        <v>0</v>
      </c>
      <c r="V65" s="59">
        <f>ROUND((O65*'Cost Pool'!$E$27),0)</f>
        <v>0</v>
      </c>
      <c r="W65" s="59">
        <f t="shared" si="16"/>
        <v>0</v>
      </c>
      <c r="X65" s="108"/>
    </row>
    <row r="66" spans="1:24" s="32" customFormat="1" x14ac:dyDescent="0.2">
      <c r="A66" s="32" t="s">
        <v>425</v>
      </c>
      <c r="B66" s="36" t="str">
        <f t="shared" si="32"/>
        <v>Excluded</v>
      </c>
      <c r="C66" s="36" t="e">
        <f t="shared" si="34"/>
        <v>#N/A</v>
      </c>
      <c r="D66" s="36" t="e">
        <f t="shared" si="22"/>
        <v>#N/A</v>
      </c>
      <c r="E66" s="38">
        <f t="shared" ref="E66:E99" si="40">IF($B66="Excluded",0,(IF(ISNA(VLOOKUP($A66,FY2013_14,10,FALSE)),0,(VLOOKUP($A66,FY2013_14,10,FALSE)))))</f>
        <v>0</v>
      </c>
      <c r="F66" s="38">
        <f t="shared" ref="F66:F99" si="41">IF($B66="Excluded",0,(IF(ISNA(VLOOKUP($A66,FY2014_15,10,FALSE)),0,(VLOOKUP($A66,FY2014_15,10,FALSE)))))</f>
        <v>0</v>
      </c>
      <c r="G66" s="38">
        <f t="shared" ref="G66:G99" si="42">IF($B66="Excluded",0,(IF(ISNA(VLOOKUP($A66,FY2015_16,10,FALSE)),0,(VLOOKUP($A66,FY2015_16,10,FALSE)))))</f>
        <v>0</v>
      </c>
      <c r="H66" s="38">
        <f t="shared" ref="H66:H99" si="43">IF($B66="Excluded",0,(IF(ISNA(VLOOKUP($A66,FY2016_17,10,FALSE)),0,(VLOOKUP($A66,FY2016_17,10,FALSE)))))</f>
        <v>0</v>
      </c>
      <c r="I66" s="38">
        <f t="shared" ref="I66:I99" si="44">IF($B66="Excluded",0,(IF(ISNA(VLOOKUP($A66,FY2017_18,10,FALSE)),0,(VLOOKUP($A66,FY2017_18,10,FALSE)))))</f>
        <v>0</v>
      </c>
      <c r="J66" s="37">
        <f t="shared" si="23"/>
        <v>0</v>
      </c>
      <c r="K66" s="37">
        <f t="shared" si="39"/>
        <v>0</v>
      </c>
      <c r="L66" s="37">
        <f t="shared" ref="L66:L99" si="45">IF($B66="Excluded",0,(IF(ISNA(VLOOKUP($A66,FY2015_16P,6,FALSE)),0,(VLOOKUP($A66,FY2015_16P,6,FALSE)))))</f>
        <v>0</v>
      </c>
      <c r="M66" s="37">
        <f t="shared" ref="M66:M99" si="46">IF($B66="Excluded",0,(IF(ISNA(VLOOKUP($A66,FY2016_17P,6,FALSE)),0,(VLOOKUP($A66,FY2016_17P,6,FALSE)))))</f>
        <v>0</v>
      </c>
      <c r="N66" s="37">
        <f t="shared" ref="N66:N99" si="47">IF($B66="Excluded",0,(IF(ISNA(VLOOKUP($A66,FY2017_18P,6,FALSE)),0,(VLOOKUP($A66,FY2017_18P,6,FALSE)))))</f>
        <v>0</v>
      </c>
      <c r="O66" s="39">
        <f t="shared" ref="O66:O99" si="48">(AVERAGE(G66:I66)*0.75)+(AVERAGE(L66:N66)*0.25)</f>
        <v>0</v>
      </c>
      <c r="P66" s="39">
        <f t="shared" ref="P66:P70" si="49">(AVERAGE(E66:G66)*0.75)+(AVERAGE(J66:L66)*0.25)</f>
        <v>0</v>
      </c>
      <c r="Q66" s="59">
        <v>0</v>
      </c>
      <c r="R66" s="59">
        <f t="shared" si="14"/>
        <v>0</v>
      </c>
      <c r="S66" s="59">
        <f>ROUND((P66*'Cost Pool'!$C$27),0)</f>
        <v>0</v>
      </c>
      <c r="T66" s="59">
        <v>0</v>
      </c>
      <c r="U66" s="59">
        <f t="shared" si="15"/>
        <v>0</v>
      </c>
      <c r="V66" s="59">
        <f>ROUND((O66*'Cost Pool'!$E$27),0)</f>
        <v>0</v>
      </c>
      <c r="W66" s="59">
        <f t="shared" ref="W66:W70" si="50">V66+R66</f>
        <v>0</v>
      </c>
      <c r="X66" s="108"/>
    </row>
    <row r="67" spans="1:24" s="32" customFormat="1" x14ac:dyDescent="0.2">
      <c r="A67" s="32" t="s">
        <v>426</v>
      </c>
      <c r="B67" s="36" t="str">
        <f t="shared" si="32"/>
        <v>Excluded</v>
      </c>
      <c r="C67" s="36" t="e">
        <f t="shared" si="34"/>
        <v>#N/A</v>
      </c>
      <c r="D67" s="36" t="e">
        <f t="shared" si="22"/>
        <v>#N/A</v>
      </c>
      <c r="E67" s="38">
        <f t="shared" si="40"/>
        <v>0</v>
      </c>
      <c r="F67" s="38">
        <f t="shared" si="41"/>
        <v>0</v>
      </c>
      <c r="G67" s="38">
        <f t="shared" si="42"/>
        <v>0</v>
      </c>
      <c r="H67" s="38">
        <f t="shared" si="43"/>
        <v>0</v>
      </c>
      <c r="I67" s="38">
        <f t="shared" si="44"/>
        <v>0</v>
      </c>
      <c r="J67" s="37">
        <f t="shared" si="23"/>
        <v>0</v>
      </c>
      <c r="K67" s="37">
        <f t="shared" si="39"/>
        <v>0</v>
      </c>
      <c r="L67" s="37">
        <f t="shared" si="45"/>
        <v>0</v>
      </c>
      <c r="M67" s="37">
        <f t="shared" si="46"/>
        <v>0</v>
      </c>
      <c r="N67" s="37">
        <f t="shared" si="47"/>
        <v>0</v>
      </c>
      <c r="O67" s="39">
        <f t="shared" si="48"/>
        <v>0</v>
      </c>
      <c r="P67" s="39">
        <f t="shared" si="49"/>
        <v>0</v>
      </c>
      <c r="Q67" s="59">
        <v>0</v>
      </c>
      <c r="R67" s="59">
        <f t="shared" si="14"/>
        <v>0</v>
      </c>
      <c r="S67" s="59">
        <f>ROUND((P67*'Cost Pool'!$C$27),0)</f>
        <v>0</v>
      </c>
      <c r="T67" s="59">
        <v>0</v>
      </c>
      <c r="U67" s="59">
        <f t="shared" ref="U67:U99" si="51">V67-T67</f>
        <v>0</v>
      </c>
      <c r="V67" s="59">
        <f>ROUND((O67*'Cost Pool'!$E$27),0)</f>
        <v>0</v>
      </c>
      <c r="W67" s="59">
        <f t="shared" si="50"/>
        <v>0</v>
      </c>
      <c r="X67" s="108"/>
    </row>
    <row r="68" spans="1:24" s="32" customFormat="1" x14ac:dyDescent="0.2">
      <c r="A68" s="32" t="s">
        <v>443</v>
      </c>
      <c r="B68" s="36" t="str">
        <f t="shared" ref="B68" si="52">VLOOKUP(A68,Crosswalk,2,FALSE)</f>
        <v>Excluded</v>
      </c>
      <c r="C68" s="36" t="e">
        <f t="shared" si="34"/>
        <v>#N/A</v>
      </c>
      <c r="D68" s="36" t="e">
        <f t="shared" ref="D68" si="53">VLOOKUP((RIGHT(B68,2)),Bureaus,2,FALSE)</f>
        <v>#N/A</v>
      </c>
      <c r="E68" s="38">
        <f t="shared" si="40"/>
        <v>0</v>
      </c>
      <c r="F68" s="38">
        <f t="shared" si="41"/>
        <v>0</v>
      </c>
      <c r="G68" s="38">
        <f t="shared" si="42"/>
        <v>0</v>
      </c>
      <c r="H68" s="38">
        <f t="shared" si="43"/>
        <v>0</v>
      </c>
      <c r="I68" s="38">
        <f t="shared" si="44"/>
        <v>0</v>
      </c>
      <c r="J68" s="37">
        <f t="shared" si="23"/>
        <v>0</v>
      </c>
      <c r="K68" s="37">
        <f t="shared" si="39"/>
        <v>0</v>
      </c>
      <c r="L68" s="37">
        <f t="shared" si="45"/>
        <v>0</v>
      </c>
      <c r="M68" s="37">
        <f t="shared" si="46"/>
        <v>0</v>
      </c>
      <c r="N68" s="37">
        <f t="shared" si="47"/>
        <v>0</v>
      </c>
      <c r="O68" s="39">
        <f t="shared" si="48"/>
        <v>0</v>
      </c>
      <c r="P68" s="39">
        <f t="shared" ref="P68" si="54">(AVERAGE(E68:G68)*0.75)+(AVERAGE(J68:L68)*0.25)</f>
        <v>0</v>
      </c>
      <c r="Q68" s="59">
        <v>0</v>
      </c>
      <c r="R68" s="59">
        <f t="shared" ref="R68" si="55">S68-Q68</f>
        <v>0</v>
      </c>
      <c r="S68" s="59">
        <f>ROUND((P68*'Cost Pool'!$C$27),0)</f>
        <v>0</v>
      </c>
      <c r="T68" s="59">
        <v>0</v>
      </c>
      <c r="U68" s="59">
        <f t="shared" si="51"/>
        <v>0</v>
      </c>
      <c r="V68" s="59">
        <f>ROUND((O68*'Cost Pool'!$E$27),0)</f>
        <v>0</v>
      </c>
      <c r="W68" s="59">
        <f t="shared" ref="W68" si="56">V68+R68</f>
        <v>0</v>
      </c>
      <c r="X68" s="108"/>
    </row>
    <row r="69" spans="1:24" s="32" customFormat="1" x14ac:dyDescent="0.2">
      <c r="A69" s="32" t="s">
        <v>427</v>
      </c>
      <c r="B69" s="36" t="str">
        <f t="shared" si="32"/>
        <v>Excluded</v>
      </c>
      <c r="C69" s="36" t="e">
        <f t="shared" si="34"/>
        <v>#N/A</v>
      </c>
      <c r="D69" s="36" t="e">
        <f t="shared" si="22"/>
        <v>#N/A</v>
      </c>
      <c r="E69" s="38">
        <f t="shared" si="40"/>
        <v>0</v>
      </c>
      <c r="F69" s="38">
        <f t="shared" si="41"/>
        <v>0</v>
      </c>
      <c r="G69" s="38">
        <f t="shared" si="42"/>
        <v>0</v>
      </c>
      <c r="H69" s="38">
        <f t="shared" si="43"/>
        <v>0</v>
      </c>
      <c r="I69" s="38">
        <f t="shared" si="44"/>
        <v>0</v>
      </c>
      <c r="J69" s="37">
        <f t="shared" si="23"/>
        <v>0</v>
      </c>
      <c r="K69" s="37">
        <f t="shared" si="39"/>
        <v>0</v>
      </c>
      <c r="L69" s="37">
        <f t="shared" si="45"/>
        <v>0</v>
      </c>
      <c r="M69" s="37">
        <f t="shared" si="46"/>
        <v>0</v>
      </c>
      <c r="N69" s="37">
        <f t="shared" si="47"/>
        <v>0</v>
      </c>
      <c r="O69" s="39">
        <f t="shared" si="48"/>
        <v>0</v>
      </c>
      <c r="P69" s="39">
        <f t="shared" si="49"/>
        <v>0</v>
      </c>
      <c r="Q69" s="59">
        <v>0</v>
      </c>
      <c r="R69" s="59">
        <f t="shared" si="14"/>
        <v>0</v>
      </c>
      <c r="S69" s="59">
        <f>ROUND((P69*'Cost Pool'!$C$27),0)</f>
        <v>0</v>
      </c>
      <c r="T69" s="59">
        <v>0</v>
      </c>
      <c r="U69" s="59">
        <f t="shared" si="51"/>
        <v>0</v>
      </c>
      <c r="V69" s="59">
        <f>ROUND((O69*'Cost Pool'!$E$27),0)</f>
        <v>0</v>
      </c>
      <c r="W69" s="59">
        <f t="shared" si="50"/>
        <v>0</v>
      </c>
      <c r="X69" s="108"/>
    </row>
    <row r="70" spans="1:24" s="32" customFormat="1" x14ac:dyDescent="0.2">
      <c r="A70" s="32" t="s">
        <v>428</v>
      </c>
      <c r="B70" s="36" t="str">
        <f t="shared" si="32"/>
        <v>Excluded</v>
      </c>
      <c r="C70" s="36" t="e">
        <f t="shared" si="34"/>
        <v>#N/A</v>
      </c>
      <c r="D70" s="36" t="e">
        <f t="shared" si="22"/>
        <v>#N/A</v>
      </c>
      <c r="E70" s="38">
        <f t="shared" si="40"/>
        <v>0</v>
      </c>
      <c r="F70" s="38">
        <f t="shared" si="41"/>
        <v>0</v>
      </c>
      <c r="G70" s="38">
        <f t="shared" si="42"/>
        <v>0</v>
      </c>
      <c r="H70" s="38">
        <f t="shared" si="43"/>
        <v>0</v>
      </c>
      <c r="I70" s="38">
        <f t="shared" si="44"/>
        <v>0</v>
      </c>
      <c r="J70" s="37">
        <f t="shared" si="23"/>
        <v>0</v>
      </c>
      <c r="K70" s="37">
        <f t="shared" si="39"/>
        <v>0</v>
      </c>
      <c r="L70" s="37">
        <f t="shared" si="45"/>
        <v>0</v>
      </c>
      <c r="M70" s="37">
        <f t="shared" si="46"/>
        <v>0</v>
      </c>
      <c r="N70" s="37">
        <f t="shared" si="47"/>
        <v>0</v>
      </c>
      <c r="O70" s="39">
        <f t="shared" si="48"/>
        <v>0</v>
      </c>
      <c r="P70" s="39">
        <f t="shared" si="49"/>
        <v>0</v>
      </c>
      <c r="Q70" s="59">
        <v>0</v>
      </c>
      <c r="R70" s="59">
        <f t="shared" si="14"/>
        <v>0</v>
      </c>
      <c r="S70" s="59">
        <f>ROUND((P70*'Cost Pool'!$C$27),0)</f>
        <v>0</v>
      </c>
      <c r="T70" s="59">
        <v>0</v>
      </c>
      <c r="U70" s="59">
        <f t="shared" si="51"/>
        <v>0</v>
      </c>
      <c r="V70" s="59">
        <f>ROUND((O70*'Cost Pool'!$E$27),0)</f>
        <v>0</v>
      </c>
      <c r="W70" s="59">
        <f t="shared" si="50"/>
        <v>0</v>
      </c>
      <c r="X70" s="108"/>
    </row>
    <row r="71" spans="1:24" s="32" customFormat="1" x14ac:dyDescent="0.2">
      <c r="A71" s="32" t="s">
        <v>444</v>
      </c>
      <c r="B71" s="36" t="str">
        <f t="shared" ref="B71" si="57">VLOOKUP(A71,Crosswalk,2,FALSE)</f>
        <v>Excluded</v>
      </c>
      <c r="C71" s="36" t="e">
        <f t="shared" si="34"/>
        <v>#N/A</v>
      </c>
      <c r="D71" s="36" t="e">
        <f t="shared" ref="D71" si="58">VLOOKUP((RIGHT(B71,2)),Bureaus,2,FALSE)</f>
        <v>#N/A</v>
      </c>
      <c r="E71" s="38">
        <f t="shared" si="40"/>
        <v>0</v>
      </c>
      <c r="F71" s="38">
        <f t="shared" si="41"/>
        <v>0</v>
      </c>
      <c r="G71" s="38">
        <f t="shared" si="42"/>
        <v>0</v>
      </c>
      <c r="H71" s="38">
        <f t="shared" si="43"/>
        <v>0</v>
      </c>
      <c r="I71" s="38">
        <f t="shared" si="44"/>
        <v>0</v>
      </c>
      <c r="J71" s="37">
        <f t="shared" si="23"/>
        <v>0</v>
      </c>
      <c r="K71" s="37">
        <f t="shared" si="39"/>
        <v>0</v>
      </c>
      <c r="L71" s="37">
        <f t="shared" si="45"/>
        <v>0</v>
      </c>
      <c r="M71" s="37">
        <f t="shared" si="46"/>
        <v>0</v>
      </c>
      <c r="N71" s="37">
        <f t="shared" si="47"/>
        <v>0</v>
      </c>
      <c r="O71" s="39">
        <f t="shared" si="48"/>
        <v>0</v>
      </c>
      <c r="P71" s="39">
        <f t="shared" ref="P71" si="59">(AVERAGE(E71:G71)*0.75)+(AVERAGE(J71:L71)*0.25)</f>
        <v>0</v>
      </c>
      <c r="Q71" s="59">
        <v>0</v>
      </c>
      <c r="R71" s="59">
        <f t="shared" ref="R71" si="60">S71-Q71</f>
        <v>0</v>
      </c>
      <c r="S71" s="59">
        <f>ROUND((P71*'Cost Pool'!$C$27),0)</f>
        <v>0</v>
      </c>
      <c r="T71" s="59">
        <v>0</v>
      </c>
      <c r="U71" s="59">
        <f t="shared" si="51"/>
        <v>0</v>
      </c>
      <c r="V71" s="59">
        <f>ROUND((O71*'Cost Pool'!$E$27),0)</f>
        <v>0</v>
      </c>
      <c r="W71" s="59">
        <f t="shared" ref="W71" si="61">V71+R71</f>
        <v>0</v>
      </c>
      <c r="X71" s="108"/>
    </row>
    <row r="72" spans="1:24" s="32" customFormat="1" x14ac:dyDescent="0.2">
      <c r="A72" s="57" t="s">
        <v>461</v>
      </c>
      <c r="B72" s="36">
        <f t="shared" ref="B72" si="62">VLOOKUP(A72,Crosswalk,2,FALSE)</f>
        <v>400</v>
      </c>
      <c r="C72" s="36" t="str">
        <f t="shared" si="34"/>
        <v>400 - BFRES Facilities GO Bond Construction Fund</v>
      </c>
      <c r="D72" s="36" t="e">
        <f t="shared" ref="D72" si="63">VLOOKUP((RIGHT(B72,2)),Bureaus,2,FALSE)</f>
        <v>#N/A</v>
      </c>
      <c r="E72" s="38">
        <f t="shared" si="40"/>
        <v>0</v>
      </c>
      <c r="F72" s="38">
        <f t="shared" si="41"/>
        <v>0</v>
      </c>
      <c r="G72" s="38">
        <f t="shared" si="42"/>
        <v>8.3690893302023275E-5</v>
      </c>
      <c r="H72" s="38">
        <f t="shared" si="43"/>
        <v>0</v>
      </c>
      <c r="I72" s="38">
        <f t="shared" si="44"/>
        <v>1.3904670337279578E-4</v>
      </c>
      <c r="J72" s="37">
        <f t="shared" si="23"/>
        <v>0</v>
      </c>
      <c r="K72" s="37">
        <f t="shared" si="39"/>
        <v>0</v>
      </c>
      <c r="L72" s="37">
        <f t="shared" si="45"/>
        <v>0</v>
      </c>
      <c r="M72" s="37">
        <f t="shared" si="46"/>
        <v>0</v>
      </c>
      <c r="N72" s="37">
        <f t="shared" si="47"/>
        <v>0</v>
      </c>
      <c r="O72" s="39">
        <f>(AVERAGE(G72:I72)*0.75)+(AVERAGE(L72:N72)*0.25)</f>
        <v>5.5684399168704767E-5</v>
      </c>
      <c r="P72" s="39">
        <f t="shared" ref="P72" si="64">(AVERAGE(E72:G72)*0.75)+(AVERAGE(J72:L72)*0.25)</f>
        <v>2.0922723325505819E-5</v>
      </c>
      <c r="Q72" s="59">
        <v>1153</v>
      </c>
      <c r="R72" s="59">
        <f t="shared" ref="R72" si="65">S72-Q72</f>
        <v>-118</v>
      </c>
      <c r="S72" s="59">
        <f>ROUND((P72*'Cost Pool'!$C$27),0)</f>
        <v>1035</v>
      </c>
      <c r="T72" s="59">
        <v>1208</v>
      </c>
      <c r="U72" s="59">
        <f t="shared" si="51"/>
        <v>1958</v>
      </c>
      <c r="V72" s="59">
        <f>ROUND((O72*'Cost Pool'!$E$27),0)</f>
        <v>3166</v>
      </c>
      <c r="W72" s="59">
        <f t="shared" ref="W72" si="66">V72+R72</f>
        <v>3048</v>
      </c>
      <c r="X72" s="108"/>
    </row>
    <row r="73" spans="1:24" x14ac:dyDescent="0.2">
      <c r="A73" s="32" t="s">
        <v>203</v>
      </c>
      <c r="B73" s="36">
        <f t="shared" si="32"/>
        <v>400</v>
      </c>
      <c r="C73" s="36" t="str">
        <f t="shared" si="34"/>
        <v>400 - BFRES Facilities GO Bond Construction Fund</v>
      </c>
      <c r="D73" s="36" t="e">
        <f t="shared" si="22"/>
        <v>#N/A</v>
      </c>
      <c r="E73" s="38">
        <f t="shared" si="40"/>
        <v>8.2620191862339528E-6</v>
      </c>
      <c r="F73" s="38">
        <f t="shared" si="41"/>
        <v>7.1548406098729807E-4</v>
      </c>
      <c r="G73" s="38">
        <f t="shared" si="42"/>
        <v>-5.2367685748447118E-8</v>
      </c>
      <c r="H73" s="38">
        <f t="shared" si="43"/>
        <v>0</v>
      </c>
      <c r="I73" s="38">
        <f t="shared" si="44"/>
        <v>1.8157861532801937E-6</v>
      </c>
      <c r="J73" s="37">
        <f t="shared" ref="J73:J99" si="67">IF($B73="Excluded",0,(IF(ISNA(VLOOKUP($A73,FY2013_14P,6,FALSE)),0,(VLOOKUP($A73,FY2013_14P,6,FALSE)))))</f>
        <v>0</v>
      </c>
      <c r="K73" s="37">
        <f t="shared" si="39"/>
        <v>0</v>
      </c>
      <c r="L73" s="37">
        <f t="shared" si="45"/>
        <v>0</v>
      </c>
      <c r="M73" s="37">
        <f t="shared" si="46"/>
        <v>0</v>
      </c>
      <c r="N73" s="37">
        <f t="shared" si="47"/>
        <v>0</v>
      </c>
      <c r="O73" s="39">
        <f t="shared" si="48"/>
        <v>4.4085461688293666E-7</v>
      </c>
      <c r="P73" s="39">
        <f t="shared" si="17"/>
        <v>1.809234281219459E-4</v>
      </c>
      <c r="Q73" s="59">
        <v>9932</v>
      </c>
      <c r="R73" s="59">
        <f t="shared" si="14"/>
        <v>-982</v>
      </c>
      <c r="S73" s="59">
        <f>ROUND((P73*'Cost Pool'!$C$27),0)</f>
        <v>8950</v>
      </c>
      <c r="T73" s="59">
        <v>10286</v>
      </c>
      <c r="U73" s="59">
        <f t="shared" si="51"/>
        <v>-10261</v>
      </c>
      <c r="V73" s="59">
        <f>ROUND((O73*'Cost Pool'!$E$27),0)</f>
        <v>25</v>
      </c>
      <c r="W73" s="59">
        <f t="shared" si="16"/>
        <v>-957</v>
      </c>
      <c r="X73" s="108"/>
    </row>
    <row r="74" spans="1:24" x14ac:dyDescent="0.2">
      <c r="A74" s="32" t="s">
        <v>204</v>
      </c>
      <c r="B74" s="36">
        <f t="shared" si="32"/>
        <v>401</v>
      </c>
      <c r="C74" s="36" t="str">
        <f t="shared" si="34"/>
        <v>401 - Local Improvement District Fund</v>
      </c>
      <c r="D74" s="36" t="e">
        <f t="shared" ref="D74:D99" si="68">VLOOKUP((RIGHT(B74,2)),Bureaus,2,FALSE)</f>
        <v>#N/A</v>
      </c>
      <c r="E74" s="38">
        <f t="shared" si="40"/>
        <v>2.9819870572831152E-6</v>
      </c>
      <c r="F74" s="38">
        <f t="shared" si="41"/>
        <v>4.2674511535186268E-6</v>
      </c>
      <c r="G74" s="38">
        <f t="shared" si="42"/>
        <v>1.4662952009565192E-6</v>
      </c>
      <c r="H74" s="38">
        <f t="shared" si="43"/>
        <v>4.077638930956435E-6</v>
      </c>
      <c r="I74" s="38">
        <f t="shared" si="44"/>
        <v>2.5686730948841763E-6</v>
      </c>
      <c r="J74" s="37">
        <f t="shared" si="67"/>
        <v>0</v>
      </c>
      <c r="K74" s="37">
        <f t="shared" si="39"/>
        <v>0</v>
      </c>
      <c r="L74" s="37">
        <f t="shared" si="45"/>
        <v>0</v>
      </c>
      <c r="M74" s="37">
        <f t="shared" si="46"/>
        <v>0</v>
      </c>
      <c r="N74" s="37">
        <f t="shared" si="47"/>
        <v>0</v>
      </c>
      <c r="O74" s="39">
        <f t="shared" si="48"/>
        <v>2.0281518066992827E-6</v>
      </c>
      <c r="P74" s="39">
        <f t="shared" si="17"/>
        <v>2.1789333529395652E-6</v>
      </c>
      <c r="Q74" s="59">
        <v>119</v>
      </c>
      <c r="R74" s="59">
        <f t="shared" si="14"/>
        <v>-11</v>
      </c>
      <c r="S74" s="59">
        <f>ROUND((P74*'Cost Pool'!$C$27),0)</f>
        <v>108</v>
      </c>
      <c r="T74" s="59">
        <v>141</v>
      </c>
      <c r="U74" s="59">
        <f t="shared" si="51"/>
        <v>-26</v>
      </c>
      <c r="V74" s="59">
        <f>ROUND((O74*'Cost Pool'!$E$27),0)</f>
        <v>115</v>
      </c>
      <c r="W74" s="59">
        <f t="shared" si="16"/>
        <v>104</v>
      </c>
      <c r="X74" s="108"/>
    </row>
    <row r="75" spans="1:24" x14ac:dyDescent="0.2">
      <c r="A75" s="32" t="s">
        <v>205</v>
      </c>
      <c r="B75" s="36">
        <f t="shared" si="32"/>
        <v>402</v>
      </c>
      <c r="C75" s="36" t="str">
        <f t="shared" si="34"/>
        <v>402 - Parks Capital Improvement Program Fund</v>
      </c>
      <c r="D75" s="36" t="e">
        <f t="shared" si="68"/>
        <v>#N/A</v>
      </c>
      <c r="E75" s="38">
        <f t="shared" si="40"/>
        <v>9.4261617643322092E-3</v>
      </c>
      <c r="F75" s="38">
        <f t="shared" si="41"/>
        <v>8.5655628767124965E-3</v>
      </c>
      <c r="G75" s="38">
        <f t="shared" si="42"/>
        <v>8.2770112283508321E-3</v>
      </c>
      <c r="H75" s="38">
        <f t="shared" si="43"/>
        <v>1.7067220049776875E-2</v>
      </c>
      <c r="I75" s="38">
        <f t="shared" si="44"/>
        <v>1.5389601652695917E-2</v>
      </c>
      <c r="J75" s="37">
        <f t="shared" si="67"/>
        <v>1.2971895562029477E-3</v>
      </c>
      <c r="K75" s="37">
        <f t="shared" si="39"/>
        <v>1.7944944909019129E-3</v>
      </c>
      <c r="L75" s="37">
        <f t="shared" si="45"/>
        <v>2.8405301664303677E-3</v>
      </c>
      <c r="M75" s="37">
        <f t="shared" si="46"/>
        <v>3.3240495770389292E-3</v>
      </c>
      <c r="N75" s="37">
        <f t="shared" si="47"/>
        <v>2.7766688785844846E-3</v>
      </c>
      <c r="O75" s="39">
        <f t="shared" si="48"/>
        <v>1.0928562284543721E-2</v>
      </c>
      <c r="P75" s="39">
        <f t="shared" si="17"/>
        <v>7.0615351518101529E-3</v>
      </c>
      <c r="Q75" s="59">
        <v>387488</v>
      </c>
      <c r="R75" s="59">
        <f t="shared" si="14"/>
        <v>-38168</v>
      </c>
      <c r="S75" s="59">
        <f>ROUND((P75*'Cost Pool'!$C$27),0)</f>
        <v>349320</v>
      </c>
      <c r="T75" s="59">
        <v>527294</v>
      </c>
      <c r="U75" s="59">
        <f t="shared" si="51"/>
        <v>93966</v>
      </c>
      <c r="V75" s="59">
        <f>ROUND((O75*'Cost Pool'!$E$27),0)</f>
        <v>621260</v>
      </c>
      <c r="W75" s="59">
        <f t="shared" si="16"/>
        <v>583092</v>
      </c>
      <c r="X75" s="108"/>
    </row>
    <row r="76" spans="1:24" x14ac:dyDescent="0.2">
      <c r="A76" s="32" t="s">
        <v>325</v>
      </c>
      <c r="B76" s="36" t="str">
        <f t="shared" si="32"/>
        <v>Excluded</v>
      </c>
      <c r="C76" s="36" t="e">
        <f t="shared" si="34"/>
        <v>#N/A</v>
      </c>
      <c r="D76" s="36" t="e">
        <f t="shared" si="68"/>
        <v>#N/A</v>
      </c>
      <c r="E76" s="38">
        <f t="shared" si="40"/>
        <v>0</v>
      </c>
      <c r="F76" s="38">
        <f t="shared" si="41"/>
        <v>0</v>
      </c>
      <c r="G76" s="38">
        <f t="shared" si="42"/>
        <v>0</v>
      </c>
      <c r="H76" s="38">
        <f t="shared" si="43"/>
        <v>0</v>
      </c>
      <c r="I76" s="38">
        <f t="shared" si="44"/>
        <v>0</v>
      </c>
      <c r="J76" s="37">
        <f t="shared" si="67"/>
        <v>0</v>
      </c>
      <c r="K76" s="37">
        <f t="shared" si="39"/>
        <v>0</v>
      </c>
      <c r="L76" s="37">
        <f t="shared" si="45"/>
        <v>0</v>
      </c>
      <c r="M76" s="37">
        <f t="shared" si="46"/>
        <v>0</v>
      </c>
      <c r="N76" s="37">
        <f t="shared" si="47"/>
        <v>0</v>
      </c>
      <c r="O76" s="39">
        <f t="shared" si="48"/>
        <v>0</v>
      </c>
      <c r="P76" s="39">
        <f t="shared" si="17"/>
        <v>0</v>
      </c>
      <c r="Q76" s="59">
        <v>25004</v>
      </c>
      <c r="R76" s="59">
        <f>S76-Q76</f>
        <v>-2496</v>
      </c>
      <c r="S76" s="59">
        <v>22508</v>
      </c>
      <c r="T76" s="59">
        <v>49314</v>
      </c>
      <c r="U76" s="59">
        <f t="shared" si="51"/>
        <v>-49314</v>
      </c>
      <c r="V76" s="59">
        <f>ROUND((O76*'Cost Pool'!$E$27),0)</f>
        <v>0</v>
      </c>
      <c r="W76" s="59">
        <f t="shared" si="16"/>
        <v>-2496</v>
      </c>
      <c r="X76" s="108"/>
    </row>
    <row r="77" spans="1:24" x14ac:dyDescent="0.2">
      <c r="A77" s="32" t="s">
        <v>324</v>
      </c>
      <c r="B77" s="36" t="str">
        <f t="shared" ref="B77:B98" si="69">VLOOKUP(A77,Crosswalk,2,FALSE)</f>
        <v>Excluded</v>
      </c>
      <c r="C77" s="36" t="e">
        <f t="shared" si="34"/>
        <v>#N/A</v>
      </c>
      <c r="D77" s="36" t="e">
        <f t="shared" si="68"/>
        <v>#N/A</v>
      </c>
      <c r="E77" s="38">
        <f t="shared" si="40"/>
        <v>0</v>
      </c>
      <c r="F77" s="38">
        <f t="shared" si="41"/>
        <v>0</v>
      </c>
      <c r="G77" s="38">
        <f t="shared" si="42"/>
        <v>0</v>
      </c>
      <c r="H77" s="38">
        <f t="shared" si="43"/>
        <v>0</v>
      </c>
      <c r="I77" s="38">
        <f t="shared" si="44"/>
        <v>0</v>
      </c>
      <c r="J77" s="37">
        <f t="shared" si="67"/>
        <v>0</v>
      </c>
      <c r="K77" s="37">
        <f t="shared" si="39"/>
        <v>0</v>
      </c>
      <c r="L77" s="37">
        <f t="shared" si="45"/>
        <v>0</v>
      </c>
      <c r="M77" s="37">
        <f t="shared" si="46"/>
        <v>0</v>
      </c>
      <c r="N77" s="37">
        <f t="shared" si="47"/>
        <v>0</v>
      </c>
      <c r="O77" s="39">
        <f t="shared" si="48"/>
        <v>0</v>
      </c>
      <c r="P77" s="39">
        <f t="shared" si="17"/>
        <v>0</v>
      </c>
      <c r="Q77" s="59">
        <v>265383</v>
      </c>
      <c r="R77" s="59">
        <f>S77-Q77</f>
        <v>-26493</v>
      </c>
      <c r="S77" s="59">
        <v>238890</v>
      </c>
      <c r="T77" s="59">
        <v>110718</v>
      </c>
      <c r="U77" s="59">
        <f t="shared" si="51"/>
        <v>-110718</v>
      </c>
      <c r="V77" s="59">
        <f>ROUND((O77*'Cost Pool'!$E$27),0)</f>
        <v>0</v>
      </c>
      <c r="W77" s="59">
        <f>V77+R77</f>
        <v>-26493</v>
      </c>
      <c r="X77" s="108"/>
    </row>
    <row r="78" spans="1:24" x14ac:dyDescent="0.2">
      <c r="A78" s="32" t="s">
        <v>206</v>
      </c>
      <c r="B78" s="36" t="str">
        <f t="shared" si="69"/>
        <v>Excluded</v>
      </c>
      <c r="C78" s="36" t="e">
        <f t="shared" si="34"/>
        <v>#N/A</v>
      </c>
      <c r="D78" s="36" t="e">
        <f t="shared" si="68"/>
        <v>#N/A</v>
      </c>
      <c r="E78" s="38">
        <f t="shared" si="40"/>
        <v>0</v>
      </c>
      <c r="F78" s="38">
        <f t="shared" si="41"/>
        <v>0</v>
      </c>
      <c r="G78" s="38">
        <f t="shared" si="42"/>
        <v>0</v>
      </c>
      <c r="H78" s="38">
        <f t="shared" si="43"/>
        <v>0</v>
      </c>
      <c r="I78" s="38">
        <f t="shared" si="44"/>
        <v>0</v>
      </c>
      <c r="J78" s="37">
        <f t="shared" si="67"/>
        <v>0</v>
      </c>
      <c r="K78" s="37">
        <f t="shared" si="39"/>
        <v>0</v>
      </c>
      <c r="L78" s="37">
        <f t="shared" si="45"/>
        <v>0</v>
      </c>
      <c r="M78" s="37">
        <f t="shared" si="46"/>
        <v>0</v>
      </c>
      <c r="N78" s="37">
        <f t="shared" si="47"/>
        <v>0</v>
      </c>
      <c r="O78" s="39">
        <f t="shared" si="48"/>
        <v>0</v>
      </c>
      <c r="P78" s="39">
        <f t="shared" ref="P78:P99" si="70">(AVERAGE(E78:G78)*0.75)+(AVERAGE(J78:L78)*0.25)</f>
        <v>0</v>
      </c>
      <c r="Q78" s="59">
        <v>0</v>
      </c>
      <c r="R78" s="59">
        <f t="shared" ref="R78:R99" si="71">S78-Q78</f>
        <v>0</v>
      </c>
      <c r="S78" s="59">
        <f>ROUND((P78*'Cost Pool'!$C$27),0)</f>
        <v>0</v>
      </c>
      <c r="T78" s="59">
        <v>0</v>
      </c>
      <c r="U78" s="59">
        <f t="shared" si="51"/>
        <v>0</v>
      </c>
      <c r="V78" s="59">
        <f>ROUND((O78*'Cost Pool'!$E$27),0)</f>
        <v>0</v>
      </c>
      <c r="W78" s="59">
        <f t="shared" ref="W78:W99" si="72">V78+R78</f>
        <v>0</v>
      </c>
      <c r="X78" s="108"/>
    </row>
    <row r="79" spans="1:24" x14ac:dyDescent="0.2">
      <c r="A79" s="32" t="s">
        <v>207</v>
      </c>
      <c r="B79" s="36">
        <f t="shared" si="69"/>
        <v>600</v>
      </c>
      <c r="C79" s="36" t="str">
        <f t="shared" si="34"/>
        <v>600 - Sewer System Operating Fund</v>
      </c>
      <c r="D79" s="36" t="e">
        <f t="shared" si="68"/>
        <v>#N/A</v>
      </c>
      <c r="E79" s="38">
        <f t="shared" si="40"/>
        <v>0.13549843055861713</v>
      </c>
      <c r="F79" s="38">
        <f t="shared" si="41"/>
        <v>0.13302765558131638</v>
      </c>
      <c r="G79" s="38">
        <f t="shared" si="42"/>
        <v>0.12941024631407544</v>
      </c>
      <c r="H79" s="38">
        <f t="shared" si="43"/>
        <v>0.12302700408624974</v>
      </c>
      <c r="I79" s="38">
        <f t="shared" si="44"/>
        <v>0.11997594295094142</v>
      </c>
      <c r="J79" s="37">
        <f t="shared" si="67"/>
        <v>7.1604863502402707E-2</v>
      </c>
      <c r="K79" s="37">
        <f t="shared" si="39"/>
        <v>7.6887187033258877E-2</v>
      </c>
      <c r="L79" s="37">
        <f t="shared" si="45"/>
        <v>6.9654739733335969E-2</v>
      </c>
      <c r="M79" s="37">
        <f t="shared" si="46"/>
        <v>6.6939481137611542E-2</v>
      </c>
      <c r="N79" s="37">
        <f t="shared" si="47"/>
        <v>6.149807368124155E-2</v>
      </c>
      <c r="O79" s="39">
        <f t="shared" si="48"/>
        <v>0.10961098955049907</v>
      </c>
      <c r="P79" s="39">
        <f t="shared" si="70"/>
        <v>0.11766298230258537</v>
      </c>
      <c r="Q79" s="59">
        <v>6461289</v>
      </c>
      <c r="R79" s="59">
        <f t="shared" si="71"/>
        <v>-640743</v>
      </c>
      <c r="S79" s="59">
        <f>ROUND((P79*'Cost Pool'!$C$27),0)</f>
        <v>5820546</v>
      </c>
      <c r="T79" s="59">
        <v>6584652</v>
      </c>
      <c r="U79" s="59">
        <f t="shared" si="51"/>
        <v>-353559</v>
      </c>
      <c r="V79" s="59">
        <f>ROUND((O79*'Cost Pool'!$E$27),0)</f>
        <v>6231093</v>
      </c>
      <c r="W79" s="59">
        <f t="shared" si="72"/>
        <v>5590350</v>
      </c>
      <c r="X79" s="108"/>
    </row>
    <row r="80" spans="1:24" x14ac:dyDescent="0.2">
      <c r="A80" s="32" t="s">
        <v>208</v>
      </c>
      <c r="B80" s="36">
        <f t="shared" si="69"/>
        <v>601</v>
      </c>
      <c r="C80" s="36" t="str">
        <f t="shared" si="34"/>
        <v>601 - Hydroelectric Power Operating Fund</v>
      </c>
      <c r="D80" s="36" t="e">
        <f t="shared" si="68"/>
        <v>#N/A</v>
      </c>
      <c r="E80" s="38">
        <f t="shared" si="40"/>
        <v>4.5953843152062886E-4</v>
      </c>
      <c r="F80" s="38">
        <f t="shared" si="41"/>
        <v>3.7825833534558406E-4</v>
      </c>
      <c r="G80" s="38">
        <f t="shared" si="42"/>
        <v>7.3923482026965913E-4</v>
      </c>
      <c r="H80" s="38">
        <f t="shared" si="43"/>
        <v>6.0291730774704824E-4</v>
      </c>
      <c r="I80" s="38">
        <f t="shared" si="44"/>
        <v>1.8578893625533744E-3</v>
      </c>
      <c r="J80" s="37">
        <f t="shared" si="67"/>
        <v>3.8915686686088433E-4</v>
      </c>
      <c r="K80" s="37">
        <f t="shared" si="39"/>
        <v>4.1411411328505683E-4</v>
      </c>
      <c r="L80" s="37">
        <f t="shared" si="45"/>
        <v>4.9400524633571609E-4</v>
      </c>
      <c r="M80" s="37">
        <f t="shared" si="46"/>
        <v>5.7311199604119468E-4</v>
      </c>
      <c r="N80" s="37">
        <f t="shared" si="47"/>
        <v>3.0851876428716494E-4</v>
      </c>
      <c r="O80" s="39">
        <f t="shared" si="48"/>
        <v>9.1464670653119344E-4</v>
      </c>
      <c r="P80" s="39">
        <f t="shared" si="70"/>
        <v>5.0236424899077281E-4</v>
      </c>
      <c r="Q80" s="59">
        <v>27616</v>
      </c>
      <c r="R80" s="59">
        <f t="shared" si="71"/>
        <v>-2765</v>
      </c>
      <c r="S80" s="59">
        <f>ROUND((P80*'Cost Pool'!$C$27),0)</f>
        <v>24851</v>
      </c>
      <c r="T80" s="59">
        <v>31947</v>
      </c>
      <c r="U80" s="59">
        <f t="shared" si="51"/>
        <v>20048</v>
      </c>
      <c r="V80" s="59">
        <f>ROUND((O80*'Cost Pool'!$E$27),0)</f>
        <v>51995</v>
      </c>
      <c r="W80" s="59">
        <f t="shared" si="72"/>
        <v>49230</v>
      </c>
      <c r="X80" s="108"/>
    </row>
    <row r="81" spans="1:24" x14ac:dyDescent="0.2">
      <c r="A81" s="32" t="s">
        <v>209</v>
      </c>
      <c r="B81" s="36">
        <f t="shared" si="69"/>
        <v>602</v>
      </c>
      <c r="C81" s="36" t="str">
        <f t="shared" si="34"/>
        <v>602 - Water Fund</v>
      </c>
      <c r="D81" s="36" t="e">
        <f t="shared" si="68"/>
        <v>#N/A</v>
      </c>
      <c r="E81" s="38">
        <f t="shared" si="40"/>
        <v>0.12080447977403019</v>
      </c>
      <c r="F81" s="38">
        <f t="shared" si="41"/>
        <v>0.10405966585356331</v>
      </c>
      <c r="G81" s="38">
        <f t="shared" si="42"/>
        <v>9.3874295143976286E-2</v>
      </c>
      <c r="H81" s="38">
        <f t="shared" si="43"/>
        <v>9.0912281979137644E-2</v>
      </c>
      <c r="I81" s="38">
        <f t="shared" si="44"/>
        <v>9.2245464969141933E-2</v>
      </c>
      <c r="J81" s="37">
        <f t="shared" si="67"/>
        <v>7.6793621727214503E-2</v>
      </c>
      <c r="K81" s="37">
        <f t="shared" si="39"/>
        <v>8.0890290128347767E-2</v>
      </c>
      <c r="L81" s="37">
        <f t="shared" si="45"/>
        <v>7.2742272522934193E-2</v>
      </c>
      <c r="M81" s="37">
        <f t="shared" si="46"/>
        <v>6.9575796319401029E-2</v>
      </c>
      <c r="N81" s="37">
        <f t="shared" si="47"/>
        <v>6.4583261324113198E-2</v>
      </c>
      <c r="O81" s="39">
        <f t="shared" si="48"/>
        <v>8.6499788036934658E-2</v>
      </c>
      <c r="P81" s="39">
        <f t="shared" si="70"/>
        <v>9.8886792224433806E-2</v>
      </c>
      <c r="Q81" s="59">
        <v>5430265</v>
      </c>
      <c r="R81" s="59">
        <f t="shared" si="71"/>
        <v>-538539</v>
      </c>
      <c r="S81" s="59">
        <f>ROUND((P81*'Cost Pool'!$C$27),0)</f>
        <v>4891726</v>
      </c>
      <c r="T81" s="59">
        <v>5238769</v>
      </c>
      <c r="U81" s="59">
        <f t="shared" si="51"/>
        <v>-321486</v>
      </c>
      <c r="V81" s="59">
        <f>ROUND((O81*'Cost Pool'!$E$27),0)</f>
        <v>4917283</v>
      </c>
      <c r="W81" s="59">
        <f t="shared" si="72"/>
        <v>4378744</v>
      </c>
      <c r="X81" s="108"/>
    </row>
    <row r="82" spans="1:24" x14ac:dyDescent="0.2">
      <c r="A82" s="32" t="s">
        <v>210</v>
      </c>
      <c r="B82" s="36">
        <f t="shared" si="69"/>
        <v>603</v>
      </c>
      <c r="C82" s="36" t="str">
        <f t="shared" si="34"/>
        <v>603 - Golf Fund</v>
      </c>
      <c r="D82" s="36" t="e">
        <f t="shared" si="68"/>
        <v>#N/A</v>
      </c>
      <c r="E82" s="38">
        <f t="shared" si="40"/>
        <v>7.7038213025579201E-3</v>
      </c>
      <c r="F82" s="38">
        <f t="shared" si="41"/>
        <v>8.8910125708960754E-3</v>
      </c>
      <c r="G82" s="38">
        <f t="shared" si="42"/>
        <v>8.4874968570944256E-3</v>
      </c>
      <c r="H82" s="38">
        <f t="shared" si="43"/>
        <v>7.0907584735101998E-3</v>
      </c>
      <c r="I82" s="38">
        <f t="shared" si="44"/>
        <v>6.8898384664919142E-3</v>
      </c>
      <c r="J82" s="37">
        <f t="shared" si="67"/>
        <v>5.5779150916726748E-3</v>
      </c>
      <c r="K82" s="37">
        <f t="shared" si="39"/>
        <v>6.2117116992758525E-3</v>
      </c>
      <c r="L82" s="37">
        <f t="shared" si="45"/>
        <v>5.6810603328607354E-3</v>
      </c>
      <c r="M82" s="37">
        <f t="shared" si="46"/>
        <v>4.4702735691213181E-3</v>
      </c>
      <c r="N82" s="37">
        <f t="shared" si="47"/>
        <v>5.1419794047860828E-3</v>
      </c>
      <c r="O82" s="39">
        <f t="shared" si="48"/>
        <v>6.8914662248381461E-3</v>
      </c>
      <c r="P82" s="39">
        <f t="shared" si="70"/>
        <v>7.7264732762878765E-3</v>
      </c>
      <c r="Q82" s="59">
        <v>424476</v>
      </c>
      <c r="R82" s="59">
        <f t="shared" si="71"/>
        <v>-42263</v>
      </c>
      <c r="S82" s="59">
        <f>ROUND((P82*'Cost Pool'!$C$27),0)</f>
        <v>382213</v>
      </c>
      <c r="T82" s="59">
        <v>431521</v>
      </c>
      <c r="U82" s="59">
        <f t="shared" si="51"/>
        <v>-39759</v>
      </c>
      <c r="V82" s="59">
        <f>ROUND((O82*'Cost Pool'!$E$27),0)</f>
        <v>391762</v>
      </c>
      <c r="W82" s="59">
        <f t="shared" si="72"/>
        <v>349499</v>
      </c>
      <c r="X82" s="108"/>
    </row>
    <row r="83" spans="1:24" x14ac:dyDescent="0.2">
      <c r="A83" s="32" t="s">
        <v>211</v>
      </c>
      <c r="B83" s="36">
        <f t="shared" si="69"/>
        <v>604</v>
      </c>
      <c r="C83" s="36" t="str">
        <f t="shared" si="34"/>
        <v>604 - Portland International Raceway Fund</v>
      </c>
      <c r="D83" s="36" t="e">
        <f t="shared" si="68"/>
        <v>#N/A</v>
      </c>
      <c r="E83" s="38">
        <f t="shared" si="40"/>
        <v>1.3691686878565667E-3</v>
      </c>
      <c r="F83" s="38">
        <f t="shared" si="41"/>
        <v>1.3404682853619266E-3</v>
      </c>
      <c r="G83" s="38">
        <f t="shared" si="42"/>
        <v>1.3237629285938258E-3</v>
      </c>
      <c r="H83" s="38">
        <f t="shared" si="43"/>
        <v>1.0448761378426422E-3</v>
      </c>
      <c r="I83" s="38">
        <f t="shared" si="44"/>
        <v>1.2949690825562225E-3</v>
      </c>
      <c r="J83" s="37">
        <f t="shared" si="67"/>
        <v>7.7831373372176866E-4</v>
      </c>
      <c r="K83" s="37">
        <f t="shared" si="39"/>
        <v>1.104304302093485E-3</v>
      </c>
      <c r="L83" s="37">
        <f t="shared" si="45"/>
        <v>7.4100786950357408E-4</v>
      </c>
      <c r="M83" s="37">
        <f t="shared" si="46"/>
        <v>2.2924479841647787E-3</v>
      </c>
      <c r="N83" s="37">
        <f t="shared" si="47"/>
        <v>2.3653105262015982E-3</v>
      </c>
      <c r="O83" s="39">
        <f t="shared" si="48"/>
        <v>1.3657992355706684E-3</v>
      </c>
      <c r="P83" s="39">
        <f t="shared" si="70"/>
        <v>1.2269854675629821E-3</v>
      </c>
      <c r="Q83" s="59">
        <v>67390</v>
      </c>
      <c r="R83" s="59">
        <f t="shared" si="71"/>
        <v>-6694</v>
      </c>
      <c r="S83" s="59">
        <f>ROUND((P83*'Cost Pool'!$C$27),0)</f>
        <v>60696</v>
      </c>
      <c r="T83" s="59">
        <v>73394</v>
      </c>
      <c r="U83" s="59">
        <f t="shared" si="51"/>
        <v>4248</v>
      </c>
      <c r="V83" s="59">
        <f>ROUND((O83*'Cost Pool'!$E$27),0)</f>
        <v>77642</v>
      </c>
      <c r="W83" s="59">
        <f t="shared" si="72"/>
        <v>70948</v>
      </c>
      <c r="X83" s="108"/>
    </row>
    <row r="84" spans="1:24" x14ac:dyDescent="0.2">
      <c r="A84" s="32" t="s">
        <v>212</v>
      </c>
      <c r="B84" s="36">
        <f t="shared" si="69"/>
        <v>605</v>
      </c>
      <c r="C84" s="36" t="str">
        <f t="shared" si="34"/>
        <v>605 - Solid Waste Management Fund</v>
      </c>
      <c r="D84" s="36" t="e">
        <f t="shared" si="68"/>
        <v>#N/A</v>
      </c>
      <c r="E84" s="38">
        <f t="shared" si="40"/>
        <v>3.5392093661108653E-3</v>
      </c>
      <c r="F84" s="38">
        <f t="shared" si="41"/>
        <v>3.3474377605082761E-3</v>
      </c>
      <c r="G84" s="38">
        <f t="shared" si="42"/>
        <v>3.682226491926054E-3</v>
      </c>
      <c r="H84" s="38">
        <f t="shared" si="43"/>
        <v>3.241854579156558E-3</v>
      </c>
      <c r="I84" s="38">
        <f t="shared" si="44"/>
        <v>2.9939452697212298E-3</v>
      </c>
      <c r="J84" s="37">
        <f t="shared" si="67"/>
        <v>3.5024118017479588E-3</v>
      </c>
      <c r="K84" s="37">
        <f t="shared" si="39"/>
        <v>3.8650650573271972E-3</v>
      </c>
      <c r="L84" s="37">
        <f t="shared" si="45"/>
        <v>2.8405301664303677E-3</v>
      </c>
      <c r="M84" s="37">
        <f t="shared" si="46"/>
        <v>2.7509375809977345E-3</v>
      </c>
      <c r="N84" s="37">
        <f t="shared" si="47"/>
        <v>2.4681501142973196E-3</v>
      </c>
      <c r="O84" s="39">
        <f t="shared" si="48"/>
        <v>3.1511414070114121E-3</v>
      </c>
      <c r="P84" s="39">
        <f t="shared" si="70"/>
        <v>3.492885656761759E-3</v>
      </c>
      <c r="Q84" s="59">
        <v>191945</v>
      </c>
      <c r="R84" s="59">
        <f t="shared" si="71"/>
        <v>-19159</v>
      </c>
      <c r="S84" s="59">
        <f>ROUND((P84*'Cost Pool'!$C$27),0)</f>
        <v>172786</v>
      </c>
      <c r="T84" s="59">
        <v>193635</v>
      </c>
      <c r="U84" s="59">
        <f t="shared" si="51"/>
        <v>-14501</v>
      </c>
      <c r="V84" s="59">
        <f>ROUND((O84*'Cost Pool'!$E$27),0)</f>
        <v>179134</v>
      </c>
      <c r="W84" s="59">
        <f t="shared" si="72"/>
        <v>159975</v>
      </c>
      <c r="X84" s="108"/>
    </row>
    <row r="85" spans="1:24" x14ac:dyDescent="0.2">
      <c r="A85" s="32" t="s">
        <v>213</v>
      </c>
      <c r="B85" s="36">
        <f t="shared" si="69"/>
        <v>606</v>
      </c>
      <c r="C85" s="36" t="str">
        <f t="shared" si="34"/>
        <v>606 - Parking Facilities Fund</v>
      </c>
      <c r="D85" s="36" t="e">
        <f t="shared" si="68"/>
        <v>#N/A</v>
      </c>
      <c r="E85" s="38">
        <f t="shared" si="40"/>
        <v>3.9817034161963704E-3</v>
      </c>
      <c r="F85" s="38">
        <f t="shared" si="41"/>
        <v>4.2048204400954052E-3</v>
      </c>
      <c r="G85" s="38">
        <f t="shared" si="42"/>
        <v>5.1356151530530109E-3</v>
      </c>
      <c r="H85" s="38">
        <f t="shared" si="43"/>
        <v>4.8905050442969999E-3</v>
      </c>
      <c r="I85" s="38">
        <f t="shared" si="44"/>
        <v>5.3226179369822756E-3</v>
      </c>
      <c r="J85" s="37">
        <f t="shared" si="67"/>
        <v>2.5943791124058955E-4</v>
      </c>
      <c r="K85" s="37">
        <f t="shared" si="39"/>
        <v>2.7607607552337124E-4</v>
      </c>
      <c r="L85" s="37">
        <f t="shared" si="45"/>
        <v>0</v>
      </c>
      <c r="M85" s="37">
        <f t="shared" si="46"/>
        <v>0</v>
      </c>
      <c r="N85" s="37">
        <f t="shared" si="47"/>
        <v>0</v>
      </c>
      <c r="O85" s="39">
        <f t="shared" si="48"/>
        <v>3.8371845335830714E-3</v>
      </c>
      <c r="P85" s="39">
        <f t="shared" si="70"/>
        <v>3.3751609178998597E-3</v>
      </c>
      <c r="Q85" s="59">
        <v>185241</v>
      </c>
      <c r="R85" s="59">
        <f t="shared" si="71"/>
        <v>-18279</v>
      </c>
      <c r="S85" s="59">
        <f>ROUND((P85*'Cost Pool'!$C$27),0)</f>
        <v>166962</v>
      </c>
      <c r="T85" s="59">
        <v>206477</v>
      </c>
      <c r="U85" s="59">
        <f t="shared" si="51"/>
        <v>11657</v>
      </c>
      <c r="V85" s="59">
        <f>ROUND((O85*'Cost Pool'!$E$27),0)</f>
        <v>218134</v>
      </c>
      <c r="W85" s="59">
        <f t="shared" si="72"/>
        <v>199855</v>
      </c>
      <c r="X85" s="108"/>
    </row>
    <row r="86" spans="1:24" x14ac:dyDescent="0.2">
      <c r="A86" s="32" t="s">
        <v>214</v>
      </c>
      <c r="B86" s="36">
        <f t="shared" si="69"/>
        <v>607</v>
      </c>
      <c r="C86" s="36" t="str">
        <f t="shared" si="34"/>
        <v>607 - Spectator Facilities Operating Fund</v>
      </c>
      <c r="D86" s="36" t="e">
        <f t="shared" si="68"/>
        <v>#N/A</v>
      </c>
      <c r="E86" s="38">
        <f t="shared" si="40"/>
        <v>2.7167472422648152E-3</v>
      </c>
      <c r="F86" s="38">
        <f t="shared" si="41"/>
        <v>2.6201616651210179E-3</v>
      </c>
      <c r="G86" s="38">
        <f t="shared" si="42"/>
        <v>3.874825413925408E-3</v>
      </c>
      <c r="H86" s="38">
        <f t="shared" si="43"/>
        <v>6.2662889735976843E-3</v>
      </c>
      <c r="I86" s="38">
        <f t="shared" si="44"/>
        <v>4.204844782004594E-3</v>
      </c>
      <c r="J86" s="37">
        <f t="shared" si="67"/>
        <v>2.5943791124058955E-4</v>
      </c>
      <c r="K86" s="37">
        <f t="shared" si="39"/>
        <v>4.1411411328505683E-4</v>
      </c>
      <c r="L86" s="37">
        <f t="shared" si="45"/>
        <v>2.4700262316785805E-4</v>
      </c>
      <c r="M86" s="37">
        <f t="shared" si="46"/>
        <v>3.4386719762471681E-4</v>
      </c>
      <c r="N86" s="37">
        <f t="shared" si="47"/>
        <v>4.1135835238288661E-4</v>
      </c>
      <c r="O86" s="39">
        <f t="shared" si="48"/>
        <v>3.6700088068132098E-3</v>
      </c>
      <c r="P86" s="39">
        <f t="shared" si="70"/>
        <v>2.3796464676356021E-3</v>
      </c>
      <c r="Q86" s="59">
        <v>130639</v>
      </c>
      <c r="R86" s="59">
        <f t="shared" si="71"/>
        <v>-12923</v>
      </c>
      <c r="S86" s="59">
        <f>ROUND((P86*'Cost Pool'!$C$27),0)</f>
        <v>117716</v>
      </c>
      <c r="T86" s="59">
        <v>188875</v>
      </c>
      <c r="U86" s="59">
        <f t="shared" si="51"/>
        <v>19755</v>
      </c>
      <c r="V86" s="59">
        <f>ROUND((O86*'Cost Pool'!$E$27),0)</f>
        <v>208630</v>
      </c>
      <c r="W86" s="59">
        <f t="shared" si="72"/>
        <v>195707</v>
      </c>
      <c r="X86" s="108"/>
    </row>
    <row r="87" spans="1:24" x14ac:dyDescent="0.2">
      <c r="A87" s="32" t="s">
        <v>215</v>
      </c>
      <c r="B87" s="36">
        <f t="shared" si="69"/>
        <v>608</v>
      </c>
      <c r="C87" s="36" t="str">
        <f t="shared" si="34"/>
        <v>608 - Environmental Remediation Fund</v>
      </c>
      <c r="D87" s="36" t="e">
        <f t="shared" si="68"/>
        <v>#N/A</v>
      </c>
      <c r="E87" s="38">
        <f t="shared" si="40"/>
        <v>3.5930629580582215E-3</v>
      </c>
      <c r="F87" s="38">
        <f t="shared" si="41"/>
        <v>2.7308172069631501E-3</v>
      </c>
      <c r="G87" s="38">
        <f t="shared" si="42"/>
        <v>2.7131687512733302E-3</v>
      </c>
      <c r="H87" s="38">
        <f t="shared" si="43"/>
        <v>1.2384271119317062E-3</v>
      </c>
      <c r="I87" s="38">
        <f t="shared" si="44"/>
        <v>5.2609259381125736E-4</v>
      </c>
      <c r="J87" s="37">
        <f t="shared" si="67"/>
        <v>3.8915686686088433E-4</v>
      </c>
      <c r="K87" s="37">
        <f t="shared" si="39"/>
        <v>4.1411411328505683E-4</v>
      </c>
      <c r="L87" s="37">
        <f t="shared" si="45"/>
        <v>6.1750655791964514E-4</v>
      </c>
      <c r="M87" s="37">
        <f t="shared" si="46"/>
        <v>3.4386719762471681E-4</v>
      </c>
      <c r="N87" s="37">
        <f t="shared" si="47"/>
        <v>4.1135835238288661E-4</v>
      </c>
      <c r="O87" s="39">
        <f t="shared" si="48"/>
        <v>1.2338164565813443E-3</v>
      </c>
      <c r="P87" s="39">
        <f t="shared" si="70"/>
        <v>2.3776603572458078E-3</v>
      </c>
      <c r="Q87" s="59">
        <v>130415</v>
      </c>
      <c r="R87" s="59">
        <f t="shared" si="71"/>
        <v>-12797</v>
      </c>
      <c r="S87" s="59">
        <f>ROUND((P87*'Cost Pool'!$C$27),0)</f>
        <v>117618</v>
      </c>
      <c r="T87" s="59">
        <v>102915</v>
      </c>
      <c r="U87" s="59">
        <f t="shared" si="51"/>
        <v>-32776</v>
      </c>
      <c r="V87" s="59">
        <f>ROUND((O87*'Cost Pool'!$E$27),0)</f>
        <v>70139</v>
      </c>
      <c r="W87" s="59">
        <f t="shared" si="72"/>
        <v>57342</v>
      </c>
      <c r="X87" s="108"/>
    </row>
    <row r="88" spans="1:24" s="32" customFormat="1" x14ac:dyDescent="0.2">
      <c r="A88" s="57" t="s">
        <v>390</v>
      </c>
      <c r="B88" s="36">
        <f t="shared" si="69"/>
        <v>600</v>
      </c>
      <c r="C88" s="36" t="str">
        <f t="shared" si="34"/>
        <v>600 - Sewer System Operating Fund</v>
      </c>
      <c r="D88" s="36" t="e">
        <f t="shared" si="68"/>
        <v>#N/A</v>
      </c>
      <c r="E88" s="38">
        <f t="shared" si="40"/>
        <v>0</v>
      </c>
      <c r="F88" s="38">
        <f t="shared" si="41"/>
        <v>0</v>
      </c>
      <c r="G88" s="38">
        <f t="shared" si="42"/>
        <v>0</v>
      </c>
      <c r="H88" s="38">
        <f t="shared" si="43"/>
        <v>0</v>
      </c>
      <c r="I88" s="38">
        <f t="shared" si="44"/>
        <v>0</v>
      </c>
      <c r="J88" s="37">
        <f t="shared" si="67"/>
        <v>0</v>
      </c>
      <c r="K88" s="37">
        <f t="shared" si="39"/>
        <v>0</v>
      </c>
      <c r="L88" s="37">
        <f t="shared" si="45"/>
        <v>0</v>
      </c>
      <c r="M88" s="37">
        <f t="shared" si="46"/>
        <v>0</v>
      </c>
      <c r="N88" s="37">
        <f t="shared" si="47"/>
        <v>0</v>
      </c>
      <c r="O88" s="39">
        <f t="shared" si="48"/>
        <v>0</v>
      </c>
      <c r="P88" s="39">
        <f t="shared" ref="P88" si="73">(AVERAGE(E88:G88)*0.75)+(AVERAGE(J88:L88)*0.25)</f>
        <v>0</v>
      </c>
      <c r="Q88" s="59">
        <v>0</v>
      </c>
      <c r="R88" s="59">
        <f t="shared" si="71"/>
        <v>0</v>
      </c>
      <c r="S88" s="59">
        <f>ROUND((P88*'Cost Pool'!$C$27),0)</f>
        <v>0</v>
      </c>
      <c r="T88" s="59">
        <v>0</v>
      </c>
      <c r="U88" s="59">
        <f t="shared" si="51"/>
        <v>0</v>
      </c>
      <c r="V88" s="59">
        <f>ROUND((O88*'Cost Pool'!$E$27),0)</f>
        <v>0</v>
      </c>
      <c r="W88" s="59">
        <f t="shared" si="72"/>
        <v>0</v>
      </c>
      <c r="X88" s="108"/>
    </row>
    <row r="89" spans="1:24" x14ac:dyDescent="0.2">
      <c r="A89" s="33" t="s">
        <v>326</v>
      </c>
      <c r="B89" s="36" t="str">
        <f t="shared" si="69"/>
        <v>Excluded</v>
      </c>
      <c r="C89" s="36" t="e">
        <f t="shared" si="34"/>
        <v>#N/A</v>
      </c>
      <c r="D89" s="36" t="e">
        <f t="shared" si="68"/>
        <v>#N/A</v>
      </c>
      <c r="E89" s="38">
        <f t="shared" si="40"/>
        <v>0</v>
      </c>
      <c r="F89" s="38">
        <f t="shared" si="41"/>
        <v>0</v>
      </c>
      <c r="G89" s="38">
        <f t="shared" si="42"/>
        <v>0</v>
      </c>
      <c r="H89" s="38">
        <f t="shared" si="43"/>
        <v>0</v>
      </c>
      <c r="I89" s="38">
        <f t="shared" si="44"/>
        <v>0</v>
      </c>
      <c r="J89" s="37">
        <f t="shared" si="67"/>
        <v>0</v>
      </c>
      <c r="K89" s="37">
        <f t="shared" si="39"/>
        <v>0</v>
      </c>
      <c r="L89" s="37">
        <f t="shared" si="45"/>
        <v>0</v>
      </c>
      <c r="M89" s="37">
        <f t="shared" si="46"/>
        <v>0</v>
      </c>
      <c r="N89" s="37">
        <f t="shared" si="47"/>
        <v>0</v>
      </c>
      <c r="O89" s="39">
        <f t="shared" si="48"/>
        <v>0</v>
      </c>
      <c r="P89" s="39">
        <f t="shared" si="70"/>
        <v>0</v>
      </c>
      <c r="Q89" s="59">
        <v>0</v>
      </c>
      <c r="R89" s="59">
        <f t="shared" si="71"/>
        <v>0</v>
      </c>
      <c r="S89" s="59">
        <f>ROUND((P89*'Cost Pool'!$C$27),0)</f>
        <v>0</v>
      </c>
      <c r="T89" s="59">
        <v>0</v>
      </c>
      <c r="U89" s="59">
        <f t="shared" si="51"/>
        <v>0</v>
      </c>
      <c r="V89" s="59">
        <f>ROUND((O89*'Cost Pool'!$E$27),0)</f>
        <v>0</v>
      </c>
      <c r="W89" s="59">
        <f t="shared" si="72"/>
        <v>0</v>
      </c>
      <c r="X89" s="108"/>
    </row>
    <row r="90" spans="1:24" x14ac:dyDescent="0.2">
      <c r="A90" s="32" t="s">
        <v>216</v>
      </c>
      <c r="B90" s="36">
        <f t="shared" si="69"/>
        <v>700</v>
      </c>
      <c r="C90" s="36" t="str">
        <f t="shared" si="34"/>
        <v>700 - Health Insurance Operating Fund</v>
      </c>
      <c r="D90" s="36" t="e">
        <f t="shared" si="68"/>
        <v>#N/A</v>
      </c>
      <c r="E90" s="38">
        <f t="shared" si="40"/>
        <v>7.3743095441137817E-3</v>
      </c>
      <c r="F90" s="38">
        <f t="shared" si="41"/>
        <v>7.9343065660049845E-3</v>
      </c>
      <c r="G90" s="38">
        <f t="shared" si="42"/>
        <v>6.7373845096870477E-3</v>
      </c>
      <c r="H90" s="38">
        <f t="shared" si="43"/>
        <v>5.6823038334111245E-3</v>
      </c>
      <c r="I90" s="38">
        <f t="shared" si="44"/>
        <v>7.0931569136960847E-3</v>
      </c>
      <c r="J90" s="37">
        <f t="shared" si="67"/>
        <v>1.5566274674435373E-3</v>
      </c>
      <c r="K90" s="37">
        <f t="shared" si="39"/>
        <v>1.6564564531402273E-3</v>
      </c>
      <c r="L90" s="37">
        <f t="shared" si="45"/>
        <v>1.6055170505910772E-3</v>
      </c>
      <c r="M90" s="37">
        <f t="shared" si="46"/>
        <v>1.4900911897071062E-3</v>
      </c>
      <c r="N90" s="37">
        <f t="shared" si="47"/>
        <v>1.4397542333401032E-3</v>
      </c>
      <c r="O90" s="39">
        <f t="shared" si="48"/>
        <v>5.2561581870017547E-3</v>
      </c>
      <c r="P90" s="39">
        <f t="shared" si="70"/>
        <v>5.9130502358826905E-3</v>
      </c>
      <c r="Q90" s="59">
        <v>324496</v>
      </c>
      <c r="R90" s="59">
        <f t="shared" si="71"/>
        <v>-31990</v>
      </c>
      <c r="S90" s="59">
        <f>ROUND((P90*'Cost Pool'!$C$27),0)</f>
        <v>292506</v>
      </c>
      <c r="T90" s="59">
        <v>316211</v>
      </c>
      <c r="U90" s="59">
        <f t="shared" si="51"/>
        <v>-17412</v>
      </c>
      <c r="V90" s="59">
        <f>ROUND((O90*'Cost Pool'!$E$27),0)</f>
        <v>298799</v>
      </c>
      <c r="W90" s="59">
        <f t="shared" si="72"/>
        <v>266809</v>
      </c>
      <c r="X90" s="108"/>
    </row>
    <row r="91" spans="1:24" x14ac:dyDescent="0.2">
      <c r="A91" s="32" t="s">
        <v>217</v>
      </c>
      <c r="B91" s="36">
        <f t="shared" si="69"/>
        <v>701</v>
      </c>
      <c r="C91" s="36" t="str">
        <f t="shared" si="34"/>
        <v>701 - Facilities Services Operating Fund</v>
      </c>
      <c r="D91" s="36" t="e">
        <f t="shared" si="68"/>
        <v>#N/A</v>
      </c>
      <c r="E91" s="38">
        <f t="shared" si="40"/>
        <v>2.3489862744942511E-2</v>
      </c>
      <c r="F91" s="38">
        <f t="shared" si="41"/>
        <v>1.9465283375668586E-2</v>
      </c>
      <c r="G91" s="38">
        <f t="shared" si="42"/>
        <v>2.0355168107809581E-2</v>
      </c>
      <c r="H91" s="38">
        <f t="shared" si="43"/>
        <v>2.716100269029809E-2</v>
      </c>
      <c r="I91" s="38">
        <f t="shared" si="44"/>
        <v>3.9248673421188394E-2</v>
      </c>
      <c r="J91" s="37">
        <f t="shared" si="67"/>
        <v>4.7996013579509065E-3</v>
      </c>
      <c r="K91" s="37">
        <f t="shared" si="39"/>
        <v>4.8313313216589967E-3</v>
      </c>
      <c r="L91" s="37">
        <f t="shared" si="45"/>
        <v>4.693049840189303E-3</v>
      </c>
      <c r="M91" s="37">
        <f t="shared" si="46"/>
        <v>5.0433855651625132E-3</v>
      </c>
      <c r="N91" s="37">
        <f t="shared" si="47"/>
        <v>5.7590169333604129E-3</v>
      </c>
      <c r="O91" s="39">
        <f t="shared" si="48"/>
        <v>2.2982498749716702E-2</v>
      </c>
      <c r="P91" s="39">
        <f t="shared" si="70"/>
        <v>1.7021243767088436E-2</v>
      </c>
      <c r="Q91" s="59">
        <v>933964</v>
      </c>
      <c r="R91" s="59">
        <f t="shared" si="71"/>
        <v>-91958</v>
      </c>
      <c r="S91" s="59">
        <f>ROUND((P91*'Cost Pool'!$C$27),0)</f>
        <v>842006</v>
      </c>
      <c r="T91" s="59">
        <v>1035829</v>
      </c>
      <c r="U91" s="59">
        <f t="shared" si="51"/>
        <v>270665</v>
      </c>
      <c r="V91" s="59">
        <f>ROUND((O91*'Cost Pool'!$E$27),0)</f>
        <v>1306494</v>
      </c>
      <c r="W91" s="59">
        <f t="shared" si="72"/>
        <v>1214536</v>
      </c>
      <c r="X91" s="108"/>
    </row>
    <row r="92" spans="1:24" x14ac:dyDescent="0.2">
      <c r="A92" s="32" t="s">
        <v>218</v>
      </c>
      <c r="B92" s="36">
        <f t="shared" si="69"/>
        <v>702</v>
      </c>
      <c r="C92" s="36" t="str">
        <f t="shared" si="34"/>
        <v>702 - CityFleet Operating Fund</v>
      </c>
      <c r="D92" s="36" t="e">
        <f t="shared" si="68"/>
        <v>#N/A</v>
      </c>
      <c r="E92" s="38">
        <f t="shared" si="40"/>
        <v>2.4374728282709698E-2</v>
      </c>
      <c r="F92" s="38">
        <f t="shared" si="41"/>
        <v>2.4767849081278874E-2</v>
      </c>
      <c r="G92" s="38">
        <f t="shared" si="42"/>
        <v>2.4817060939141097E-2</v>
      </c>
      <c r="H92" s="38">
        <f t="shared" si="43"/>
        <v>2.4228638044500123E-2</v>
      </c>
      <c r="I92" s="38">
        <f t="shared" si="44"/>
        <v>2.3408981339937456E-2</v>
      </c>
      <c r="J92" s="37">
        <f t="shared" si="67"/>
        <v>1.0118078538382992E-2</v>
      </c>
      <c r="K92" s="37">
        <f t="shared" si="39"/>
        <v>1.0766966945411478E-2</v>
      </c>
      <c r="L92" s="37">
        <f t="shared" si="45"/>
        <v>9.5096009919625347E-3</v>
      </c>
      <c r="M92" s="37">
        <f t="shared" si="46"/>
        <v>8.8259247390343985E-3</v>
      </c>
      <c r="N92" s="37">
        <f t="shared" si="47"/>
        <v>7.9186482833705669E-3</v>
      </c>
      <c r="O92" s="39">
        <f t="shared" si="48"/>
        <v>2.0301517915425296E-2</v>
      </c>
      <c r="P92" s="39">
        <f t="shared" si="70"/>
        <v>2.1022796782095499E-2</v>
      </c>
      <c r="Q92" s="59">
        <v>1154260</v>
      </c>
      <c r="R92" s="59">
        <f t="shared" si="71"/>
        <v>-114305</v>
      </c>
      <c r="S92" s="59">
        <f>ROUND((P92*'Cost Pool'!$C$27),0)</f>
        <v>1039955</v>
      </c>
      <c r="T92" s="59">
        <v>1204181</v>
      </c>
      <c r="U92" s="59">
        <f t="shared" si="51"/>
        <v>-50094</v>
      </c>
      <c r="V92" s="59">
        <f>ROUND((O92*'Cost Pool'!$E$27),0)</f>
        <v>1154087</v>
      </c>
      <c r="W92" s="59">
        <f t="shared" si="72"/>
        <v>1039782</v>
      </c>
      <c r="X92" s="108"/>
    </row>
    <row r="93" spans="1:24" x14ac:dyDescent="0.2">
      <c r="A93" s="32" t="s">
        <v>219</v>
      </c>
      <c r="B93" s="36">
        <f t="shared" si="69"/>
        <v>703</v>
      </c>
      <c r="C93" s="36" t="str">
        <f t="shared" si="34"/>
        <v>703 - Printing &amp; Distribution Services Operating Fund</v>
      </c>
      <c r="D93" s="36" t="e">
        <f t="shared" si="68"/>
        <v>#N/A</v>
      </c>
      <c r="E93" s="38">
        <f t="shared" si="40"/>
        <v>5.3658006425613613E-3</v>
      </c>
      <c r="F93" s="38">
        <f t="shared" si="41"/>
        <v>5.3696185652913429E-3</v>
      </c>
      <c r="G93" s="38">
        <f t="shared" si="42"/>
        <v>5.4997800397477122E-3</v>
      </c>
      <c r="H93" s="38">
        <f t="shared" si="43"/>
        <v>5.454493061632682E-3</v>
      </c>
      <c r="I93" s="38">
        <f t="shared" si="44"/>
        <v>4.9541679111267606E-3</v>
      </c>
      <c r="J93" s="37">
        <f t="shared" si="67"/>
        <v>3.1132549348870746E-3</v>
      </c>
      <c r="K93" s="37">
        <f t="shared" si="39"/>
        <v>3.1748748685187689E-3</v>
      </c>
      <c r="L93" s="37">
        <f t="shared" si="45"/>
        <v>2.7170288548464387E-3</v>
      </c>
      <c r="M93" s="37">
        <f t="shared" si="46"/>
        <v>2.4070703833730177E-3</v>
      </c>
      <c r="N93" s="37">
        <f t="shared" si="47"/>
        <v>2.3653105262015982E-3</v>
      </c>
      <c r="O93" s="39">
        <f t="shared" si="48"/>
        <v>4.6012277334952102E-3</v>
      </c>
      <c r="P93" s="39">
        <f t="shared" si="70"/>
        <v>4.8092297000877941E-3</v>
      </c>
      <c r="Q93" s="59">
        <v>264119</v>
      </c>
      <c r="R93" s="59">
        <f t="shared" si="71"/>
        <v>-26216</v>
      </c>
      <c r="S93" s="59">
        <f>ROUND((P93*'Cost Pool'!$C$27),0)</f>
        <v>237903</v>
      </c>
      <c r="T93" s="59">
        <v>275292</v>
      </c>
      <c r="U93" s="59">
        <f t="shared" si="51"/>
        <v>-13724</v>
      </c>
      <c r="V93" s="59">
        <f>ROUND((O93*'Cost Pool'!$E$27),0)</f>
        <v>261568</v>
      </c>
      <c r="W93" s="59">
        <f t="shared" si="72"/>
        <v>235352</v>
      </c>
      <c r="X93" s="108"/>
    </row>
    <row r="94" spans="1:24" x14ac:dyDescent="0.2">
      <c r="A94" s="32" t="s">
        <v>220</v>
      </c>
      <c r="B94" s="36">
        <f t="shared" si="69"/>
        <v>704</v>
      </c>
      <c r="C94" s="36" t="str">
        <f t="shared" si="34"/>
        <v>704 - Insurance and Claims Operating Fund</v>
      </c>
      <c r="D94" s="36" t="e">
        <f t="shared" si="68"/>
        <v>#N/A</v>
      </c>
      <c r="E94" s="38">
        <f t="shared" si="40"/>
        <v>3.4433507931749545E-3</v>
      </c>
      <c r="F94" s="38">
        <f t="shared" si="41"/>
        <v>3.7694252012553599E-3</v>
      </c>
      <c r="G94" s="38">
        <f t="shared" si="42"/>
        <v>4.1509696470604044E-3</v>
      </c>
      <c r="H94" s="38">
        <f t="shared" si="43"/>
        <v>3.8464296498186942E-3</v>
      </c>
      <c r="I94" s="38">
        <f t="shared" si="44"/>
        <v>3.9105151469259764E-3</v>
      </c>
      <c r="J94" s="37">
        <f t="shared" si="67"/>
        <v>2.0755032899247164E-3</v>
      </c>
      <c r="K94" s="37">
        <f t="shared" si="39"/>
        <v>2.2086086041869699E-3</v>
      </c>
      <c r="L94" s="37">
        <f t="shared" si="45"/>
        <v>2.2230236085107225E-3</v>
      </c>
      <c r="M94" s="37">
        <f t="shared" si="46"/>
        <v>1.719335988123584E-3</v>
      </c>
      <c r="N94" s="37">
        <f t="shared" si="47"/>
        <v>1.5425938214358248E-3</v>
      </c>
      <c r="O94" s="39">
        <f t="shared" si="48"/>
        <v>3.4340580624571131E-3</v>
      </c>
      <c r="P94" s="39">
        <f t="shared" si="70"/>
        <v>3.3831977022578804E-3</v>
      </c>
      <c r="Q94" s="59">
        <v>185848</v>
      </c>
      <c r="R94" s="59">
        <f t="shared" si="71"/>
        <v>-18488</v>
      </c>
      <c r="S94" s="59">
        <f>ROUND((P94*'Cost Pool'!$C$27),0)</f>
        <v>167360</v>
      </c>
      <c r="T94" s="59">
        <v>199259</v>
      </c>
      <c r="U94" s="59">
        <f t="shared" si="51"/>
        <v>-4042</v>
      </c>
      <c r="V94" s="59">
        <f>ROUND((O94*'Cost Pool'!$E$27),0)</f>
        <v>195217</v>
      </c>
      <c r="W94" s="59">
        <f t="shared" si="72"/>
        <v>176729</v>
      </c>
      <c r="X94" s="108"/>
    </row>
    <row r="95" spans="1:24" x14ac:dyDescent="0.2">
      <c r="A95" s="32" t="s">
        <v>221</v>
      </c>
      <c r="B95" s="36">
        <f t="shared" si="69"/>
        <v>705</v>
      </c>
      <c r="C95" s="36" t="str">
        <f t="shared" si="34"/>
        <v>705 - Workers' Comp. Self Insurance Operating Fund</v>
      </c>
      <c r="D95" s="36" t="e">
        <f t="shared" si="68"/>
        <v>#N/A</v>
      </c>
      <c r="E95" s="38">
        <f t="shared" si="40"/>
        <v>1.9487165045555688E-3</v>
      </c>
      <c r="F95" s="38">
        <f t="shared" si="41"/>
        <v>2.0897809650745613E-3</v>
      </c>
      <c r="G95" s="38">
        <f t="shared" si="42"/>
        <v>2.2160611628301912E-3</v>
      </c>
      <c r="H95" s="38">
        <f t="shared" si="43"/>
        <v>1.9520196478510906E-3</v>
      </c>
      <c r="I95" s="38">
        <f t="shared" si="44"/>
        <v>1.915733223402137E-3</v>
      </c>
      <c r="J95" s="37">
        <f t="shared" si="67"/>
        <v>1.0377516449623582E-3</v>
      </c>
      <c r="K95" s="37">
        <f t="shared" si="39"/>
        <v>9.6626626433179931E-4</v>
      </c>
      <c r="L95" s="37">
        <f t="shared" si="45"/>
        <v>8.6450918108750313E-4</v>
      </c>
      <c r="M95" s="37">
        <f t="shared" si="46"/>
        <v>6.8773439524943362E-4</v>
      </c>
      <c r="N95" s="37">
        <f t="shared" si="47"/>
        <v>1.1312354690529382E-3</v>
      </c>
      <c r="O95" s="39">
        <f t="shared" si="48"/>
        <v>1.7445767623033446E-3</v>
      </c>
      <c r="P95" s="39">
        <f t="shared" si="70"/>
        <v>1.8026835823135518E-3</v>
      </c>
      <c r="Q95" s="59">
        <v>99000</v>
      </c>
      <c r="R95" s="59">
        <f t="shared" si="71"/>
        <v>-9825</v>
      </c>
      <c r="S95" s="59">
        <f>ROUND((P95*'Cost Pool'!$C$27),0)</f>
        <v>89175</v>
      </c>
      <c r="T95" s="59">
        <v>102337</v>
      </c>
      <c r="U95" s="59">
        <f t="shared" si="51"/>
        <v>-3162</v>
      </c>
      <c r="V95" s="59">
        <f>ROUND((O95*'Cost Pool'!$E$27),0)</f>
        <v>99175</v>
      </c>
      <c r="W95" s="59">
        <f t="shared" si="72"/>
        <v>89350</v>
      </c>
      <c r="X95" s="108"/>
    </row>
    <row r="96" spans="1:24" x14ac:dyDescent="0.2">
      <c r="A96" s="32" t="s">
        <v>222</v>
      </c>
      <c r="B96" s="36">
        <f t="shared" si="69"/>
        <v>706</v>
      </c>
      <c r="C96" s="36" t="str">
        <f t="shared" si="34"/>
        <v>706 - Technology Services Fund</v>
      </c>
      <c r="D96" s="36" t="e">
        <f t="shared" si="68"/>
        <v>#N/A</v>
      </c>
      <c r="E96" s="38">
        <f t="shared" si="40"/>
        <v>4.2427514328578719E-2</v>
      </c>
      <c r="F96" s="38">
        <f t="shared" si="41"/>
        <v>4.2262444318076929E-2</v>
      </c>
      <c r="G96" s="38">
        <f t="shared" si="42"/>
        <v>4.3447657990913394E-2</v>
      </c>
      <c r="H96" s="38">
        <f t="shared" si="43"/>
        <v>4.3845447858331991E-2</v>
      </c>
      <c r="I96" s="38">
        <f t="shared" si="44"/>
        <v>4.064789785867122E-2</v>
      </c>
      <c r="J96" s="37">
        <f t="shared" si="67"/>
        <v>2.8667889192085145E-2</v>
      </c>
      <c r="K96" s="37">
        <f t="shared" si="39"/>
        <v>3.1334634571902636E-2</v>
      </c>
      <c r="L96" s="37">
        <f t="shared" si="45"/>
        <v>2.6799784613712598E-2</v>
      </c>
      <c r="M96" s="37">
        <f t="shared" si="46"/>
        <v>2.6477774217103192E-2</v>
      </c>
      <c r="N96" s="37">
        <f t="shared" si="47"/>
        <v>2.3344586497728817E-2</v>
      </c>
      <c r="O96" s="39">
        <f t="shared" si="48"/>
        <v>3.8370429704357868E-2</v>
      </c>
      <c r="P96" s="39">
        <f t="shared" si="70"/>
        <v>3.9267929857533967E-2</v>
      </c>
      <c r="Q96" s="59">
        <v>2156983</v>
      </c>
      <c r="R96" s="59">
        <f t="shared" si="71"/>
        <v>-214479</v>
      </c>
      <c r="S96" s="59">
        <f>ROUND((P96*'Cost Pool'!$C$27),0)</f>
        <v>1942504</v>
      </c>
      <c r="T96" s="59">
        <v>2275250</v>
      </c>
      <c r="U96" s="59">
        <f t="shared" si="51"/>
        <v>-93993</v>
      </c>
      <c r="V96" s="59">
        <f>ROUND((O96*'Cost Pool'!$E$27),0)</f>
        <v>2181257</v>
      </c>
      <c r="W96" s="59">
        <f t="shared" si="72"/>
        <v>1966778</v>
      </c>
      <c r="X96" s="108"/>
    </row>
    <row r="97" spans="1:24" x14ac:dyDescent="0.2">
      <c r="A97" s="32" t="s">
        <v>223</v>
      </c>
      <c r="B97" s="36">
        <f t="shared" si="69"/>
        <v>708</v>
      </c>
      <c r="C97" s="36" t="str">
        <f t="shared" si="34"/>
        <v>708 - EBS Services Fund</v>
      </c>
      <c r="D97" s="36" t="e">
        <f t="shared" si="68"/>
        <v>#N/A</v>
      </c>
      <c r="E97" s="38">
        <f t="shared" si="40"/>
        <v>3.8759971729747742E-3</v>
      </c>
      <c r="F97" s="38">
        <f t="shared" si="41"/>
        <v>3.1186426343635287E-3</v>
      </c>
      <c r="G97" s="38">
        <f t="shared" si="42"/>
        <v>4.1210320884717318E-3</v>
      </c>
      <c r="H97" s="38">
        <f t="shared" si="43"/>
        <v>3.1804477214405239E-3</v>
      </c>
      <c r="I97" s="38">
        <f t="shared" si="44"/>
        <v>3.0717530350133008E-3</v>
      </c>
      <c r="J97" s="37">
        <f t="shared" si="67"/>
        <v>2.5943791124058953E-3</v>
      </c>
      <c r="K97" s="37">
        <f t="shared" si="39"/>
        <v>2.6227227174720267E-3</v>
      </c>
      <c r="L97" s="37">
        <f t="shared" si="45"/>
        <v>2.4700262316785806E-3</v>
      </c>
      <c r="M97" s="37">
        <f t="shared" si="46"/>
        <v>2.0632031857483009E-3</v>
      </c>
      <c r="N97" s="37">
        <f t="shared" si="47"/>
        <v>1.7482729976272681E-3</v>
      </c>
      <c r="O97" s="39">
        <f t="shared" si="48"/>
        <v>3.1167667458192349E-3</v>
      </c>
      <c r="P97" s="39">
        <f t="shared" si="70"/>
        <v>3.4195119790822173E-3</v>
      </c>
      <c r="Q97" s="59">
        <v>187839</v>
      </c>
      <c r="R97" s="59">
        <f t="shared" si="71"/>
        <v>-18683</v>
      </c>
      <c r="S97" s="59">
        <f>ROUND((P97*'Cost Pool'!$C$27),0)</f>
        <v>169156</v>
      </c>
      <c r="T97" s="59">
        <v>184701</v>
      </c>
      <c r="U97" s="59">
        <f t="shared" si="51"/>
        <v>-7521</v>
      </c>
      <c r="V97" s="59">
        <f>ROUND((O97*'Cost Pool'!$E$27),0)</f>
        <v>177180</v>
      </c>
      <c r="W97" s="59">
        <f t="shared" si="72"/>
        <v>158497</v>
      </c>
      <c r="X97" s="108"/>
    </row>
    <row r="98" spans="1:24" x14ac:dyDescent="0.2">
      <c r="A98" s="32" t="s">
        <v>224</v>
      </c>
      <c r="B98" s="36">
        <f t="shared" si="69"/>
        <v>800</v>
      </c>
      <c r="C98" s="36" t="str">
        <f t="shared" si="34"/>
        <v>800 - Fire &amp; Police Disability &amp; Retirement Fund</v>
      </c>
      <c r="D98" s="36" t="e">
        <f t="shared" si="68"/>
        <v>#N/A</v>
      </c>
      <c r="E98" s="38">
        <f t="shared" si="40"/>
        <v>3.4512451251497212E-3</v>
      </c>
      <c r="F98" s="38">
        <f t="shared" si="41"/>
        <v>2.8023066155496825E-3</v>
      </c>
      <c r="G98" s="38">
        <f t="shared" si="42"/>
        <v>3.6931268257145936E-3</v>
      </c>
      <c r="H98" s="38">
        <f t="shared" si="43"/>
        <v>2.5194428971422908E-3</v>
      </c>
      <c r="I98" s="38">
        <f t="shared" si="44"/>
        <v>2.5114297366600445E-3</v>
      </c>
      <c r="J98" s="37">
        <f t="shared" si="67"/>
        <v>2.3349412011653059E-3</v>
      </c>
      <c r="K98" s="37">
        <f t="shared" si="39"/>
        <v>2.6227227174720267E-3</v>
      </c>
      <c r="L98" s="37">
        <f t="shared" si="45"/>
        <v>2.0995222969267934E-3</v>
      </c>
      <c r="M98" s="37">
        <f t="shared" si="46"/>
        <v>1.9485807865400619E-3</v>
      </c>
      <c r="N98" s="37">
        <f t="shared" si="47"/>
        <v>1.7482729976272681E-3</v>
      </c>
      <c r="O98" s="39">
        <f t="shared" si="48"/>
        <v>2.6640312049704094E-3</v>
      </c>
      <c r="P98" s="39">
        <f t="shared" si="70"/>
        <v>3.0747684929005098E-3</v>
      </c>
      <c r="Q98" s="59">
        <v>168908</v>
      </c>
      <c r="R98" s="59">
        <f t="shared" si="71"/>
        <v>-16806</v>
      </c>
      <c r="S98" s="59">
        <f>ROUND((P98*'Cost Pool'!$C$27),0)</f>
        <v>152102</v>
      </c>
      <c r="T98" s="59">
        <v>162099</v>
      </c>
      <c r="U98" s="59">
        <f t="shared" si="51"/>
        <v>-10656</v>
      </c>
      <c r="V98" s="59">
        <f>ROUND((O98*'Cost Pool'!$E$27),0)</f>
        <v>151443</v>
      </c>
      <c r="W98" s="59">
        <f t="shared" si="72"/>
        <v>134637</v>
      </c>
      <c r="X98" s="108"/>
    </row>
    <row r="99" spans="1:24" x14ac:dyDescent="0.2">
      <c r="A99" s="150" t="s">
        <v>225</v>
      </c>
      <c r="B99" s="36" t="s">
        <v>327</v>
      </c>
      <c r="C99" s="36" t="e">
        <f t="shared" si="34"/>
        <v>#N/A</v>
      </c>
      <c r="D99" s="36" t="e">
        <f t="shared" si="68"/>
        <v>#N/A</v>
      </c>
      <c r="E99" s="38">
        <f t="shared" si="40"/>
        <v>0</v>
      </c>
      <c r="F99" s="38">
        <f t="shared" si="41"/>
        <v>0</v>
      </c>
      <c r="G99" s="38">
        <f t="shared" si="42"/>
        <v>0</v>
      </c>
      <c r="H99" s="38">
        <f t="shared" si="43"/>
        <v>0</v>
      </c>
      <c r="I99" s="38">
        <f t="shared" si="44"/>
        <v>0</v>
      </c>
      <c r="J99" s="37">
        <f t="shared" si="67"/>
        <v>0</v>
      </c>
      <c r="K99" s="37">
        <f t="shared" si="39"/>
        <v>0</v>
      </c>
      <c r="L99" s="37">
        <f t="shared" si="45"/>
        <v>0</v>
      </c>
      <c r="M99" s="37">
        <f t="shared" si="46"/>
        <v>0</v>
      </c>
      <c r="N99" s="37">
        <f t="shared" si="47"/>
        <v>0</v>
      </c>
      <c r="O99" s="39">
        <f t="shared" si="48"/>
        <v>0</v>
      </c>
      <c r="P99" s="39">
        <f t="shared" si="70"/>
        <v>0</v>
      </c>
      <c r="Q99" s="59">
        <v>0</v>
      </c>
      <c r="R99" s="59">
        <f t="shared" si="71"/>
        <v>0</v>
      </c>
      <c r="S99" s="59">
        <f>ROUND((P99*'Cost Pool'!$C$27),0)</f>
        <v>0</v>
      </c>
      <c r="T99" s="59">
        <v>0</v>
      </c>
      <c r="U99" s="59">
        <f t="shared" si="51"/>
        <v>0</v>
      </c>
      <c r="V99" s="59">
        <f>ROUND((O99*'Cost Pool'!$E$27),0)</f>
        <v>0</v>
      </c>
      <c r="W99" s="59">
        <f t="shared" si="72"/>
        <v>0</v>
      </c>
      <c r="X99" s="108"/>
    </row>
    <row r="100" spans="1:24" x14ac:dyDescent="0.2">
      <c r="A100" s="32"/>
      <c r="B100" s="32"/>
      <c r="C100" s="32"/>
      <c r="D100" s="32"/>
      <c r="E100" s="35">
        <f t="shared" ref="E100" si="74">SUM(E2:E99)</f>
        <v>1</v>
      </c>
      <c r="F100" s="35">
        <f t="shared" ref="F100" si="75">SUM(F2:F99)</f>
        <v>0.99999999999999989</v>
      </c>
      <c r="G100" s="35">
        <f t="shared" ref="G100:H100" si="76">SUM(G2:G99)</f>
        <v>0.99999999999999967</v>
      </c>
      <c r="H100" s="35">
        <f t="shared" si="76"/>
        <v>1</v>
      </c>
      <c r="I100" s="35">
        <f t="shared" ref="I100:O100" si="77">SUM(I2:I99)</f>
        <v>0.99999999999999967</v>
      </c>
      <c r="J100" s="35">
        <f t="shared" si="77"/>
        <v>1.0000000000000002</v>
      </c>
      <c r="K100" s="35">
        <f t="shared" si="77"/>
        <v>1.0000000000000002</v>
      </c>
      <c r="L100" s="35">
        <f t="shared" si="77"/>
        <v>1</v>
      </c>
      <c r="M100" s="35">
        <f t="shared" si="77"/>
        <v>0.99999999999999989</v>
      </c>
      <c r="N100" s="35">
        <f t="shared" si="77"/>
        <v>0.99999999999999989</v>
      </c>
      <c r="O100" s="35">
        <f t="shared" si="77"/>
        <v>1.0000000000000002</v>
      </c>
      <c r="P100" s="35">
        <f t="shared" ref="P100" si="78">SUM(P2:P99)</f>
        <v>1</v>
      </c>
      <c r="Q100" s="34">
        <f>SUM(Q2:Q99)</f>
        <v>55369235</v>
      </c>
      <c r="R100" s="34">
        <f>SUM(R2:R99)</f>
        <v>-5514893</v>
      </c>
      <c r="S100" s="34">
        <f t="shared" ref="S100:V100" si="79">SUM(S2:S99)</f>
        <v>49854342</v>
      </c>
      <c r="T100" s="34">
        <f t="shared" si="79"/>
        <v>57992092</v>
      </c>
      <c r="U100" s="34">
        <f t="shared" si="79"/>
        <v>-1019753</v>
      </c>
      <c r="V100" s="34">
        <f t="shared" si="79"/>
        <v>56972339</v>
      </c>
      <c r="W100" s="34">
        <f>SUM(W2:W99)</f>
        <v>51457446</v>
      </c>
    </row>
    <row r="101" spans="1:24" x14ac:dyDescent="0.2">
      <c r="Q101" s="91">
        <f>Q100-'Cost Pool'!B20</f>
        <v>-0.30418691784143448</v>
      </c>
      <c r="R101" s="91">
        <f>R100-'Cost Pool'!D20</f>
        <v>1.0241869147866964</v>
      </c>
      <c r="S101" s="91">
        <f>S100-'Cost Pool'!C20</f>
        <v>0.7200000062584877</v>
      </c>
      <c r="T101" s="91">
        <f>T100-T104</f>
        <v>4.456803098320961</v>
      </c>
      <c r="U101" s="91">
        <v>0</v>
      </c>
      <c r="V101" s="91">
        <f>V100-'Cost Pool'!E20</f>
        <v>-1.9846878200769424</v>
      </c>
      <c r="W101" s="91">
        <f>W100-'Cost Pool'!E20-'Cost Pool'!D20</f>
        <v>-0.96050090529024601</v>
      </c>
    </row>
    <row r="104" spans="1:24" x14ac:dyDescent="0.2">
      <c r="T104" s="32">
        <v>57992087.543196902</v>
      </c>
      <c r="U104" s="9"/>
    </row>
    <row r="107" spans="1:24" x14ac:dyDescent="0.2">
      <c r="A107" s="32"/>
      <c r="B107" s="32"/>
      <c r="C107" s="32"/>
      <c r="D107" s="32"/>
      <c r="E107" s="40"/>
      <c r="F107" s="40"/>
      <c r="G107" s="40"/>
      <c r="H107" s="40"/>
      <c r="I107" s="40"/>
      <c r="J107" s="32"/>
      <c r="K107" s="32"/>
      <c r="L107" s="32"/>
      <c r="O107" s="32"/>
      <c r="R107" s="32"/>
      <c r="S107" s="32"/>
    </row>
    <row r="108" spans="1:24" x14ac:dyDescent="0.2">
      <c r="A108" s="32"/>
      <c r="B108" s="32"/>
      <c r="C108" s="32"/>
      <c r="D108" s="32"/>
      <c r="E108" s="40"/>
      <c r="F108" s="40"/>
      <c r="G108" s="40"/>
      <c r="H108" s="40"/>
      <c r="I108" s="40"/>
      <c r="J108" s="32"/>
      <c r="K108" s="32"/>
      <c r="L108" s="32"/>
      <c r="O108" s="32"/>
      <c r="R108" s="32"/>
      <c r="S108" s="32"/>
    </row>
    <row r="109" spans="1:24" x14ac:dyDescent="0.2">
      <c r="E109" s="40"/>
      <c r="F109" s="40"/>
      <c r="G109" s="40"/>
      <c r="H109" s="40"/>
      <c r="I109" s="40"/>
    </row>
    <row r="110" spans="1:24" x14ac:dyDescent="0.2">
      <c r="E110" s="40"/>
      <c r="F110" s="40"/>
      <c r="G110" s="40"/>
      <c r="H110" s="40"/>
      <c r="I110" s="40"/>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7"/>
  <sheetViews>
    <sheetView topLeftCell="A57" workbookViewId="0">
      <selection activeCell="M83" sqref="M83"/>
    </sheetView>
  </sheetViews>
  <sheetFormatPr defaultRowHeight="12.75" x14ac:dyDescent="0.2"/>
  <cols>
    <col min="1" max="1" width="15.7109375" style="56" bestFit="1" customWidth="1"/>
    <col min="2" max="2" width="13.28515625" style="56" bestFit="1" customWidth="1"/>
    <col min="3" max="3" width="39.5703125" style="45" customWidth="1"/>
    <col min="5" max="5" width="5.42578125" style="149" bestFit="1" customWidth="1"/>
    <col min="6" max="6" width="42.28515625" bestFit="1" customWidth="1"/>
    <col min="8" max="8" width="7.28515625" bestFit="1" customWidth="1"/>
    <col min="9" max="9" width="39.7109375" bestFit="1" customWidth="1"/>
  </cols>
  <sheetData>
    <row r="1" spans="1:9" x14ac:dyDescent="0.2">
      <c r="A1" s="169" t="s">
        <v>450</v>
      </c>
      <c r="B1" s="170"/>
      <c r="E1" s="171" t="s">
        <v>335</v>
      </c>
      <c r="F1" s="172"/>
      <c r="H1" s="171" t="s">
        <v>336</v>
      </c>
      <c r="I1" s="172"/>
    </row>
    <row r="2" spans="1:9" x14ac:dyDescent="0.2">
      <c r="A2" s="46" t="s">
        <v>328</v>
      </c>
      <c r="B2" s="46" t="s">
        <v>315</v>
      </c>
      <c r="C2" s="47" t="s">
        <v>343</v>
      </c>
      <c r="E2" s="147" t="s">
        <v>147</v>
      </c>
      <c r="F2" s="1" t="s">
        <v>148</v>
      </c>
      <c r="H2" s="3" t="s">
        <v>150</v>
      </c>
      <c r="I2" s="3" t="s">
        <v>149</v>
      </c>
    </row>
    <row r="3" spans="1:9" x14ac:dyDescent="0.2">
      <c r="A3" s="48" t="s">
        <v>161</v>
      </c>
      <c r="B3" s="48" t="s">
        <v>161</v>
      </c>
      <c r="C3" s="45" t="s">
        <v>401</v>
      </c>
      <c r="E3" s="148" t="s">
        <v>2</v>
      </c>
      <c r="F3" s="2" t="s">
        <v>3</v>
      </c>
      <c r="H3" s="4" t="s">
        <v>28</v>
      </c>
      <c r="I3" s="4" t="s">
        <v>29</v>
      </c>
    </row>
    <row r="4" spans="1:9" x14ac:dyDescent="0.2">
      <c r="A4" s="48" t="s">
        <v>162</v>
      </c>
      <c r="B4" s="48" t="s">
        <v>162</v>
      </c>
      <c r="C4" s="45" t="s">
        <v>474</v>
      </c>
      <c r="E4" s="148" t="s">
        <v>48</v>
      </c>
      <c r="F4" s="2" t="s">
        <v>49</v>
      </c>
      <c r="H4" s="4" t="s">
        <v>30</v>
      </c>
      <c r="I4" s="4" t="s">
        <v>31</v>
      </c>
    </row>
    <row r="5" spans="1:9" x14ac:dyDescent="0.2">
      <c r="A5" s="48" t="s">
        <v>342</v>
      </c>
      <c r="B5" s="48" t="s">
        <v>342</v>
      </c>
      <c r="C5" s="53" t="s">
        <v>401</v>
      </c>
      <c r="E5" s="148" t="s">
        <v>227</v>
      </c>
      <c r="F5" s="2" t="s">
        <v>228</v>
      </c>
      <c r="H5" s="4" t="s">
        <v>312</v>
      </c>
      <c r="I5" s="4" t="s">
        <v>313</v>
      </c>
    </row>
    <row r="6" spans="1:9" x14ac:dyDescent="0.2">
      <c r="A6" s="48" t="s">
        <v>156</v>
      </c>
      <c r="B6" s="50" t="s">
        <v>159</v>
      </c>
      <c r="E6" s="148" t="s">
        <v>52</v>
      </c>
      <c r="F6" s="2" t="s">
        <v>53</v>
      </c>
      <c r="H6" s="4" t="s">
        <v>14</v>
      </c>
      <c r="I6" s="4" t="s">
        <v>15</v>
      </c>
    </row>
    <row r="7" spans="1:9" x14ac:dyDescent="0.2">
      <c r="A7" s="48" t="s">
        <v>164</v>
      </c>
      <c r="B7" s="48" t="s">
        <v>164</v>
      </c>
      <c r="C7" s="53" t="s">
        <v>401</v>
      </c>
      <c r="E7" s="148" t="s">
        <v>56</v>
      </c>
      <c r="F7" s="2" t="s">
        <v>57</v>
      </c>
      <c r="H7" s="4" t="s">
        <v>135</v>
      </c>
      <c r="I7" s="4" t="s">
        <v>136</v>
      </c>
    </row>
    <row r="8" spans="1:9" x14ac:dyDescent="0.2">
      <c r="A8" s="48" t="s">
        <v>399</v>
      </c>
      <c r="B8" s="50" t="s">
        <v>327</v>
      </c>
      <c r="E8" s="148" t="s">
        <v>60</v>
      </c>
      <c r="F8" s="2" t="s">
        <v>61</v>
      </c>
      <c r="H8" s="4" t="s">
        <v>58</v>
      </c>
      <c r="I8" s="4" t="s">
        <v>59</v>
      </c>
    </row>
    <row r="9" spans="1:9" ht="25.5" x14ac:dyDescent="0.2">
      <c r="A9" s="48" t="s">
        <v>165</v>
      </c>
      <c r="B9" s="48" t="s">
        <v>165</v>
      </c>
      <c r="C9" s="51" t="s">
        <v>344</v>
      </c>
      <c r="E9" s="148" t="s">
        <v>229</v>
      </c>
      <c r="F9" s="2" t="s">
        <v>230</v>
      </c>
      <c r="H9" s="4" t="s">
        <v>54</v>
      </c>
      <c r="I9" s="4" t="s">
        <v>55</v>
      </c>
    </row>
    <row r="10" spans="1:9" x14ac:dyDescent="0.2">
      <c r="A10" s="48" t="s">
        <v>157</v>
      </c>
      <c r="B10" s="48" t="s">
        <v>157</v>
      </c>
      <c r="C10" s="53" t="s">
        <v>401</v>
      </c>
      <c r="E10" s="148" t="s">
        <v>62</v>
      </c>
      <c r="F10" s="2" t="s">
        <v>409</v>
      </c>
      <c r="H10" s="4" t="s">
        <v>34</v>
      </c>
      <c r="I10" s="4" t="s">
        <v>35</v>
      </c>
    </row>
    <row r="11" spans="1:9" x14ac:dyDescent="0.2">
      <c r="A11" s="48" t="s">
        <v>166</v>
      </c>
      <c r="B11" s="48" t="s">
        <v>166</v>
      </c>
      <c r="C11" s="49"/>
      <c r="E11" s="148" t="s">
        <v>231</v>
      </c>
      <c r="F11" s="2" t="s">
        <v>232</v>
      </c>
      <c r="H11" s="4" t="s">
        <v>76</v>
      </c>
      <c r="I11" s="4" t="s">
        <v>77</v>
      </c>
    </row>
    <row r="12" spans="1:9" x14ac:dyDescent="0.2">
      <c r="A12" s="48" t="s">
        <v>158</v>
      </c>
      <c r="B12" s="50" t="s">
        <v>327</v>
      </c>
      <c r="E12" s="148" t="s">
        <v>233</v>
      </c>
      <c r="F12" s="2" t="s">
        <v>234</v>
      </c>
      <c r="H12" s="4" t="s">
        <v>67</v>
      </c>
      <c r="I12" s="4" t="s">
        <v>314</v>
      </c>
    </row>
    <row r="13" spans="1:9" ht="63.75" x14ac:dyDescent="0.2">
      <c r="A13" s="48" t="s">
        <v>159</v>
      </c>
      <c r="B13" s="48" t="s">
        <v>159</v>
      </c>
      <c r="C13" s="53" t="s">
        <v>487</v>
      </c>
      <c r="E13" s="148" t="s">
        <v>63</v>
      </c>
      <c r="F13" s="2" t="s">
        <v>64</v>
      </c>
      <c r="H13" s="4" t="s">
        <v>38</v>
      </c>
      <c r="I13" s="4" t="s">
        <v>39</v>
      </c>
    </row>
    <row r="14" spans="1:9" ht="38.25" x14ac:dyDescent="0.2">
      <c r="A14" s="48" t="s">
        <v>163</v>
      </c>
      <c r="B14" s="52" t="s">
        <v>163</v>
      </c>
      <c r="C14" s="51" t="s">
        <v>446</v>
      </c>
      <c r="E14" s="148" t="s">
        <v>235</v>
      </c>
      <c r="F14" s="2" t="s">
        <v>236</v>
      </c>
      <c r="H14" s="4" t="s">
        <v>18</v>
      </c>
      <c r="I14" s="4" t="s">
        <v>19</v>
      </c>
    </row>
    <row r="15" spans="1:9" ht="51" x14ac:dyDescent="0.2">
      <c r="A15" s="48" t="s">
        <v>160</v>
      </c>
      <c r="B15" s="48" t="s">
        <v>160</v>
      </c>
      <c r="C15" s="51" t="s">
        <v>445</v>
      </c>
      <c r="E15" s="148" t="s">
        <v>65</v>
      </c>
      <c r="F15" s="2" t="s">
        <v>66</v>
      </c>
      <c r="H15" s="4" t="s">
        <v>40</v>
      </c>
      <c r="I15" s="4" t="s">
        <v>41</v>
      </c>
    </row>
    <row r="16" spans="1:9" ht="51" x14ac:dyDescent="0.2">
      <c r="A16" s="48" t="s">
        <v>316</v>
      </c>
      <c r="B16" s="48" t="s">
        <v>316</v>
      </c>
      <c r="C16" s="53" t="s">
        <v>457</v>
      </c>
      <c r="E16" s="148" t="s">
        <v>237</v>
      </c>
      <c r="F16" s="2" t="s">
        <v>238</v>
      </c>
      <c r="H16" s="4" t="s">
        <v>20</v>
      </c>
      <c r="I16" s="4" t="s">
        <v>21</v>
      </c>
    </row>
    <row r="17" spans="1:9" ht="25.5" x14ac:dyDescent="0.2">
      <c r="A17" s="48" t="s">
        <v>152</v>
      </c>
      <c r="B17" s="48" t="s">
        <v>152</v>
      </c>
      <c r="C17" s="54" t="s">
        <v>398</v>
      </c>
      <c r="E17" s="148" t="s">
        <v>68</v>
      </c>
      <c r="F17" s="2" t="s">
        <v>69</v>
      </c>
      <c r="H17" s="4" t="s">
        <v>22</v>
      </c>
      <c r="I17" s="4" t="s">
        <v>23</v>
      </c>
    </row>
    <row r="18" spans="1:9" x14ac:dyDescent="0.2">
      <c r="A18" s="48" t="s">
        <v>167</v>
      </c>
      <c r="B18" s="48" t="s">
        <v>167</v>
      </c>
      <c r="E18" s="148" t="s">
        <v>70</v>
      </c>
      <c r="F18" s="2" t="s">
        <v>71</v>
      </c>
      <c r="H18" s="4" t="s">
        <v>32</v>
      </c>
      <c r="I18" s="4" t="s">
        <v>33</v>
      </c>
    </row>
    <row r="19" spans="1:9" x14ac:dyDescent="0.2">
      <c r="A19" s="48" t="s">
        <v>168</v>
      </c>
      <c r="B19" s="48" t="s">
        <v>168</v>
      </c>
      <c r="E19" s="148" t="s">
        <v>72</v>
      </c>
      <c r="F19" s="2" t="s">
        <v>73</v>
      </c>
      <c r="H19" s="4" t="s">
        <v>24</v>
      </c>
      <c r="I19" s="4" t="s">
        <v>25</v>
      </c>
    </row>
    <row r="20" spans="1:9" ht="51" x14ac:dyDescent="0.2">
      <c r="A20" s="48" t="s">
        <v>151</v>
      </c>
      <c r="B20" s="48" t="s">
        <v>151</v>
      </c>
      <c r="C20" s="51" t="s">
        <v>458</v>
      </c>
      <c r="E20" s="148" t="s">
        <v>74</v>
      </c>
      <c r="F20" s="2" t="s">
        <v>75</v>
      </c>
      <c r="H20" s="4" t="s">
        <v>16</v>
      </c>
      <c r="I20" s="4" t="s">
        <v>17</v>
      </c>
    </row>
    <row r="21" spans="1:9" x14ac:dyDescent="0.2">
      <c r="A21" s="48" t="s">
        <v>153</v>
      </c>
      <c r="B21" s="48" t="s">
        <v>153</v>
      </c>
      <c r="C21" s="53" t="s">
        <v>401</v>
      </c>
      <c r="E21" s="148" t="s">
        <v>80</v>
      </c>
      <c r="F21" s="2" t="s">
        <v>81</v>
      </c>
      <c r="H21" s="4" t="s">
        <v>6</v>
      </c>
      <c r="I21" s="4" t="s">
        <v>7</v>
      </c>
    </row>
    <row r="22" spans="1:9" x14ac:dyDescent="0.2">
      <c r="A22" s="48" t="s">
        <v>154</v>
      </c>
      <c r="B22" s="48" t="s">
        <v>154</v>
      </c>
      <c r="C22" s="53" t="s">
        <v>401</v>
      </c>
      <c r="E22" s="148" t="s">
        <v>82</v>
      </c>
      <c r="F22" s="2" t="s">
        <v>83</v>
      </c>
      <c r="H22" s="4" t="s">
        <v>42</v>
      </c>
      <c r="I22" s="4" t="s">
        <v>43</v>
      </c>
    </row>
    <row r="23" spans="1:9" x14ac:dyDescent="0.2">
      <c r="A23" s="48" t="s">
        <v>155</v>
      </c>
      <c r="B23" s="48" t="s">
        <v>155</v>
      </c>
      <c r="C23" s="53" t="s">
        <v>401</v>
      </c>
      <c r="E23" s="148" t="s">
        <v>84</v>
      </c>
      <c r="F23" s="2" t="s">
        <v>85</v>
      </c>
      <c r="H23" s="4" t="s">
        <v>44</v>
      </c>
      <c r="I23" s="4" t="s">
        <v>45</v>
      </c>
    </row>
    <row r="24" spans="1:9" ht="25.5" x14ac:dyDescent="0.2">
      <c r="A24" s="48" t="s">
        <v>169</v>
      </c>
      <c r="B24" s="48" t="s">
        <v>169</v>
      </c>
      <c r="C24" s="51" t="s">
        <v>392</v>
      </c>
      <c r="E24" s="148" t="s">
        <v>86</v>
      </c>
      <c r="F24" s="2" t="s">
        <v>87</v>
      </c>
      <c r="H24" s="4" t="s">
        <v>4</v>
      </c>
      <c r="I24" s="4" t="s">
        <v>5</v>
      </c>
    </row>
    <row r="25" spans="1:9" x14ac:dyDescent="0.2">
      <c r="A25" s="48" t="s">
        <v>317</v>
      </c>
      <c r="B25" s="50" t="s">
        <v>151</v>
      </c>
      <c r="C25" s="49"/>
      <c r="E25" s="148" t="s">
        <v>88</v>
      </c>
      <c r="F25" s="2" t="s">
        <v>89</v>
      </c>
      <c r="H25" s="4" t="s">
        <v>8</v>
      </c>
      <c r="I25" s="4" t="s">
        <v>9</v>
      </c>
    </row>
    <row r="26" spans="1:9" x14ac:dyDescent="0.2">
      <c r="A26" s="48" t="s">
        <v>318</v>
      </c>
      <c r="B26" s="50" t="s">
        <v>329</v>
      </c>
      <c r="E26" s="148" t="s">
        <v>239</v>
      </c>
      <c r="F26" s="2" t="s">
        <v>240</v>
      </c>
      <c r="H26" s="4" t="s">
        <v>10</v>
      </c>
      <c r="I26" s="4" t="s">
        <v>11</v>
      </c>
    </row>
    <row r="27" spans="1:9" x14ac:dyDescent="0.2">
      <c r="A27" s="48" t="s">
        <v>170</v>
      </c>
      <c r="B27" s="48">
        <v>200</v>
      </c>
      <c r="E27" s="148" t="s">
        <v>435</v>
      </c>
      <c r="F27" s="2" t="s">
        <v>434</v>
      </c>
      <c r="H27" s="4" t="s">
        <v>12</v>
      </c>
      <c r="I27" s="4" t="s">
        <v>13</v>
      </c>
    </row>
    <row r="28" spans="1:9" x14ac:dyDescent="0.2">
      <c r="A28" s="52" t="s">
        <v>402</v>
      </c>
      <c r="B28" s="48">
        <v>201</v>
      </c>
      <c r="E28" s="148" t="s">
        <v>241</v>
      </c>
      <c r="F28" s="2" t="s">
        <v>242</v>
      </c>
      <c r="H28" s="4" t="s">
        <v>46</v>
      </c>
      <c r="I28" s="4" t="s">
        <v>47</v>
      </c>
    </row>
    <row r="29" spans="1:9" x14ac:dyDescent="0.2">
      <c r="A29" s="48" t="s">
        <v>171</v>
      </c>
      <c r="B29" s="48">
        <v>202</v>
      </c>
      <c r="E29" s="148" t="s">
        <v>243</v>
      </c>
      <c r="F29" s="2" t="s">
        <v>244</v>
      </c>
      <c r="H29" s="4" t="s">
        <v>26</v>
      </c>
      <c r="I29" s="4" t="s">
        <v>27</v>
      </c>
    </row>
    <row r="30" spans="1:9" x14ac:dyDescent="0.2">
      <c r="A30" s="48" t="s">
        <v>172</v>
      </c>
      <c r="B30" s="48">
        <v>202</v>
      </c>
      <c r="E30" s="148" t="s">
        <v>146</v>
      </c>
      <c r="F30" s="2" t="s">
        <v>145</v>
      </c>
      <c r="H30" s="4" t="s">
        <v>50</v>
      </c>
      <c r="I30" s="4" t="s">
        <v>51</v>
      </c>
    </row>
    <row r="31" spans="1:9" x14ac:dyDescent="0.2">
      <c r="A31" s="48" t="s">
        <v>173</v>
      </c>
      <c r="B31" s="48">
        <v>203</v>
      </c>
      <c r="E31" s="148" t="s">
        <v>245</v>
      </c>
      <c r="F31" s="2" t="s">
        <v>246</v>
      </c>
      <c r="H31" s="4" t="s">
        <v>78</v>
      </c>
      <c r="I31" s="4" t="s">
        <v>79</v>
      </c>
    </row>
    <row r="32" spans="1:9" x14ac:dyDescent="0.2">
      <c r="A32" s="48" t="s">
        <v>174</v>
      </c>
      <c r="B32" s="48">
        <v>204</v>
      </c>
      <c r="C32" s="54" t="s">
        <v>382</v>
      </c>
      <c r="E32" s="148" t="s">
        <v>247</v>
      </c>
      <c r="F32" s="2" t="s">
        <v>248</v>
      </c>
      <c r="H32" s="4" t="s">
        <v>36</v>
      </c>
      <c r="I32" s="4" t="s">
        <v>37</v>
      </c>
    </row>
    <row r="33" spans="1:6" x14ac:dyDescent="0.2">
      <c r="A33" s="48" t="s">
        <v>175</v>
      </c>
      <c r="B33" s="55" t="s">
        <v>400</v>
      </c>
      <c r="C33" s="54" t="s">
        <v>382</v>
      </c>
      <c r="E33" s="148" t="s">
        <v>144</v>
      </c>
      <c r="F33" s="2" t="s">
        <v>143</v>
      </c>
    </row>
    <row r="34" spans="1:6" x14ac:dyDescent="0.2">
      <c r="A34" s="48" t="s">
        <v>400</v>
      </c>
      <c r="B34" s="55" t="s">
        <v>400</v>
      </c>
      <c r="C34" s="54"/>
      <c r="E34" s="148" t="s">
        <v>249</v>
      </c>
      <c r="F34" s="2" t="s">
        <v>250</v>
      </c>
    </row>
    <row r="35" spans="1:6" x14ac:dyDescent="0.2">
      <c r="A35" s="52" t="s">
        <v>388</v>
      </c>
      <c r="B35" s="50" t="s">
        <v>327</v>
      </c>
      <c r="C35" s="54"/>
      <c r="E35" s="148" t="s">
        <v>251</v>
      </c>
      <c r="F35" s="2" t="s">
        <v>252</v>
      </c>
    </row>
    <row r="36" spans="1:6" x14ac:dyDescent="0.2">
      <c r="A36" s="48" t="s">
        <v>176</v>
      </c>
      <c r="B36" s="48">
        <v>209</v>
      </c>
      <c r="C36" s="54" t="s">
        <v>382</v>
      </c>
      <c r="E36" s="148" t="s">
        <v>253</v>
      </c>
      <c r="F36" s="2" t="s">
        <v>254</v>
      </c>
    </row>
    <row r="37" spans="1:6" x14ac:dyDescent="0.2">
      <c r="A37" s="48" t="s">
        <v>177</v>
      </c>
      <c r="B37" s="50" t="s">
        <v>327</v>
      </c>
      <c r="C37" s="54"/>
      <c r="E37" s="148" t="s">
        <v>255</v>
      </c>
      <c r="F37" s="2" t="s">
        <v>256</v>
      </c>
    </row>
    <row r="38" spans="1:6" x14ac:dyDescent="0.2">
      <c r="A38" s="48" t="s">
        <v>178</v>
      </c>
      <c r="B38" s="48">
        <v>213</v>
      </c>
      <c r="C38" s="51" t="s">
        <v>393</v>
      </c>
      <c r="E38" s="148" t="s">
        <v>257</v>
      </c>
      <c r="F38" s="2" t="s">
        <v>258</v>
      </c>
    </row>
    <row r="39" spans="1:6" x14ac:dyDescent="0.2">
      <c r="A39" s="52" t="s">
        <v>179</v>
      </c>
      <c r="B39" s="50" t="s">
        <v>327</v>
      </c>
      <c r="C39" s="51"/>
      <c r="E39" s="148" t="s">
        <v>259</v>
      </c>
      <c r="F39" s="2" t="s">
        <v>260</v>
      </c>
    </row>
    <row r="40" spans="1:6" x14ac:dyDescent="0.2">
      <c r="A40" s="48" t="s">
        <v>180</v>
      </c>
      <c r="B40" s="52">
        <v>215</v>
      </c>
      <c r="C40" s="53"/>
      <c r="E40" s="148" t="s">
        <v>261</v>
      </c>
      <c r="F40" s="2" t="s">
        <v>262</v>
      </c>
    </row>
    <row r="41" spans="1:6" x14ac:dyDescent="0.2">
      <c r="A41" s="48" t="s">
        <v>181</v>
      </c>
      <c r="B41" s="48">
        <v>216</v>
      </c>
      <c r="C41" s="54" t="s">
        <v>382</v>
      </c>
      <c r="E41" s="148" t="s">
        <v>263</v>
      </c>
      <c r="F41" s="2" t="s">
        <v>264</v>
      </c>
    </row>
    <row r="42" spans="1:6" x14ac:dyDescent="0.2">
      <c r="A42" s="48" t="s">
        <v>319</v>
      </c>
      <c r="B42" s="50">
        <v>203</v>
      </c>
      <c r="E42" s="148" t="s">
        <v>265</v>
      </c>
      <c r="F42" s="2" t="s">
        <v>266</v>
      </c>
    </row>
    <row r="43" spans="1:6" x14ac:dyDescent="0.2">
      <c r="A43" s="48" t="s">
        <v>182</v>
      </c>
      <c r="B43" s="50">
        <v>202</v>
      </c>
      <c r="C43" s="49"/>
      <c r="E43" s="148" t="s">
        <v>267</v>
      </c>
      <c r="F43" s="2" t="s">
        <v>268</v>
      </c>
    </row>
    <row r="44" spans="1:6" x14ac:dyDescent="0.2">
      <c r="A44" s="48" t="s">
        <v>187</v>
      </c>
      <c r="B44" s="50" t="s">
        <v>164</v>
      </c>
      <c r="C44" s="49"/>
      <c r="E44" s="148" t="s">
        <v>142</v>
      </c>
      <c r="F44" s="2" t="s">
        <v>141</v>
      </c>
    </row>
    <row r="45" spans="1:6" x14ac:dyDescent="0.2">
      <c r="A45" s="48" t="s">
        <v>183</v>
      </c>
      <c r="B45" s="50">
        <v>600</v>
      </c>
      <c r="C45" s="49"/>
      <c r="E45" s="148" t="s">
        <v>269</v>
      </c>
      <c r="F45" s="2" t="s">
        <v>270</v>
      </c>
    </row>
    <row r="46" spans="1:6" x14ac:dyDescent="0.2">
      <c r="A46" s="48" t="s">
        <v>190</v>
      </c>
      <c r="B46" s="50" t="s">
        <v>165</v>
      </c>
      <c r="C46" s="49"/>
      <c r="E46" s="148" t="s">
        <v>271</v>
      </c>
      <c r="F46" s="2" t="s">
        <v>272</v>
      </c>
    </row>
    <row r="47" spans="1:6" x14ac:dyDescent="0.2">
      <c r="A47" s="48" t="s">
        <v>191</v>
      </c>
      <c r="B47" s="50" t="s">
        <v>166</v>
      </c>
      <c r="C47" s="49"/>
      <c r="E47" s="148" t="s">
        <v>273</v>
      </c>
      <c r="F47" s="2" t="s">
        <v>274</v>
      </c>
    </row>
    <row r="48" spans="1:6" x14ac:dyDescent="0.2">
      <c r="A48" s="48" t="s">
        <v>186</v>
      </c>
      <c r="B48" s="50" t="s">
        <v>159</v>
      </c>
      <c r="C48" s="49"/>
      <c r="E48" s="148" t="s">
        <v>275</v>
      </c>
      <c r="F48" s="2" t="s">
        <v>276</v>
      </c>
    </row>
    <row r="49" spans="1:6" x14ac:dyDescent="0.2">
      <c r="A49" s="48" t="s">
        <v>323</v>
      </c>
      <c r="B49" s="50" t="s">
        <v>163</v>
      </c>
      <c r="C49" s="49"/>
      <c r="E49" s="148" t="s">
        <v>277</v>
      </c>
      <c r="F49" s="2" t="s">
        <v>278</v>
      </c>
    </row>
    <row r="50" spans="1:6" x14ac:dyDescent="0.2">
      <c r="A50" s="48" t="s">
        <v>321</v>
      </c>
      <c r="B50" s="50" t="s">
        <v>160</v>
      </c>
      <c r="C50" s="49"/>
      <c r="E50" s="148" t="s">
        <v>279</v>
      </c>
      <c r="F50" s="2" t="s">
        <v>280</v>
      </c>
    </row>
    <row r="51" spans="1:6" x14ac:dyDescent="0.2">
      <c r="A51" s="48" t="s">
        <v>320</v>
      </c>
      <c r="B51" s="50" t="s">
        <v>152</v>
      </c>
      <c r="C51" s="49"/>
      <c r="E51" s="148" t="s">
        <v>281</v>
      </c>
      <c r="F51" s="2" t="s">
        <v>282</v>
      </c>
    </row>
    <row r="52" spans="1:6" x14ac:dyDescent="0.2">
      <c r="A52" s="48" t="s">
        <v>192</v>
      </c>
      <c r="B52" s="50" t="s">
        <v>167</v>
      </c>
      <c r="C52" s="49"/>
      <c r="E52" s="148" t="s">
        <v>90</v>
      </c>
      <c r="F52" s="2" t="s">
        <v>91</v>
      </c>
    </row>
    <row r="53" spans="1:6" x14ac:dyDescent="0.2">
      <c r="A53" s="48" t="s">
        <v>193</v>
      </c>
      <c r="B53" s="50" t="s">
        <v>168</v>
      </c>
      <c r="C53" s="49"/>
      <c r="E53" s="148" t="s">
        <v>92</v>
      </c>
      <c r="F53" s="2" t="s">
        <v>93</v>
      </c>
    </row>
    <row r="54" spans="1:6" x14ac:dyDescent="0.2">
      <c r="A54" s="48" t="s">
        <v>184</v>
      </c>
      <c r="B54" s="50" t="s">
        <v>151</v>
      </c>
      <c r="C54" s="49"/>
      <c r="E54" s="152" t="s">
        <v>94</v>
      </c>
      <c r="F54" s="103" t="s">
        <v>95</v>
      </c>
    </row>
    <row r="55" spans="1:6" x14ac:dyDescent="0.2">
      <c r="A55" s="52" t="s">
        <v>185</v>
      </c>
      <c r="B55" s="50" t="s">
        <v>154</v>
      </c>
      <c r="C55" s="49"/>
      <c r="E55" s="152" t="s">
        <v>96</v>
      </c>
      <c r="F55" s="103" t="s">
        <v>97</v>
      </c>
    </row>
    <row r="56" spans="1:6" x14ac:dyDescent="0.2">
      <c r="A56" s="48" t="s">
        <v>322</v>
      </c>
      <c r="B56" s="50" t="s">
        <v>151</v>
      </c>
      <c r="C56" s="49"/>
      <c r="E56" s="148" t="s">
        <v>140</v>
      </c>
      <c r="F56" s="2" t="s">
        <v>139</v>
      </c>
    </row>
    <row r="57" spans="1:6" x14ac:dyDescent="0.2">
      <c r="A57" s="48" t="s">
        <v>188</v>
      </c>
      <c r="B57" s="50">
        <v>200</v>
      </c>
      <c r="C57" s="49"/>
      <c r="E57" s="148" t="s">
        <v>98</v>
      </c>
      <c r="F57" s="2" t="s">
        <v>99</v>
      </c>
    </row>
    <row r="58" spans="1:6" x14ac:dyDescent="0.2">
      <c r="A58" s="48" t="s">
        <v>194</v>
      </c>
      <c r="B58" s="50">
        <v>602</v>
      </c>
      <c r="C58" s="49"/>
      <c r="E58" s="148" t="s">
        <v>100</v>
      </c>
      <c r="F58" s="2" t="s">
        <v>101</v>
      </c>
    </row>
    <row r="59" spans="1:6" x14ac:dyDescent="0.2">
      <c r="A59" s="48" t="s">
        <v>189</v>
      </c>
      <c r="B59" s="50" t="s">
        <v>329</v>
      </c>
      <c r="C59" s="49"/>
      <c r="E59" s="148" t="s">
        <v>102</v>
      </c>
      <c r="F59" s="2" t="s">
        <v>103</v>
      </c>
    </row>
    <row r="60" spans="1:6" x14ac:dyDescent="0.2">
      <c r="A60" s="48" t="s">
        <v>195</v>
      </c>
      <c r="B60" s="50" t="s">
        <v>166</v>
      </c>
      <c r="C60" s="49"/>
      <c r="E60" s="148" t="s">
        <v>104</v>
      </c>
      <c r="F60" s="2" t="s">
        <v>105</v>
      </c>
    </row>
    <row r="61" spans="1:6" x14ac:dyDescent="0.2">
      <c r="A61" s="48" t="s">
        <v>196</v>
      </c>
      <c r="B61" s="50" t="s">
        <v>166</v>
      </c>
      <c r="C61" s="49"/>
      <c r="E61" s="148" t="s">
        <v>106</v>
      </c>
      <c r="F61" s="2" t="s">
        <v>107</v>
      </c>
    </row>
    <row r="62" spans="1:6" x14ac:dyDescent="0.2">
      <c r="A62" s="48" t="s">
        <v>197</v>
      </c>
      <c r="B62" s="50" t="s">
        <v>327</v>
      </c>
      <c r="E62" s="148" t="s">
        <v>108</v>
      </c>
      <c r="F62" s="2" t="s">
        <v>109</v>
      </c>
    </row>
    <row r="63" spans="1:6" x14ac:dyDescent="0.2">
      <c r="A63" s="48" t="s">
        <v>198</v>
      </c>
      <c r="B63" s="48">
        <v>221</v>
      </c>
      <c r="C63" s="51" t="s">
        <v>393</v>
      </c>
      <c r="E63" s="148" t="s">
        <v>110</v>
      </c>
      <c r="F63" s="2" t="s">
        <v>111</v>
      </c>
    </row>
    <row r="64" spans="1:6" x14ac:dyDescent="0.2">
      <c r="A64" s="48" t="s">
        <v>199</v>
      </c>
      <c r="B64" s="50" t="s">
        <v>327</v>
      </c>
      <c r="C64" s="51"/>
      <c r="E64" s="148" t="s">
        <v>112</v>
      </c>
      <c r="F64" s="2" t="s">
        <v>113</v>
      </c>
    </row>
    <row r="65" spans="1:6" x14ac:dyDescent="0.2">
      <c r="A65" s="48" t="s">
        <v>410</v>
      </c>
      <c r="B65" s="52">
        <v>223</v>
      </c>
      <c r="C65" s="54" t="s">
        <v>382</v>
      </c>
      <c r="E65" s="148" t="s">
        <v>114</v>
      </c>
      <c r="F65" s="2" t="s">
        <v>115</v>
      </c>
    </row>
    <row r="66" spans="1:6" x14ac:dyDescent="0.2">
      <c r="A66" s="48" t="s">
        <v>424</v>
      </c>
      <c r="B66" s="48">
        <v>224</v>
      </c>
      <c r="C66" s="54"/>
      <c r="E66" s="148" t="s">
        <v>283</v>
      </c>
      <c r="F66" s="2" t="s">
        <v>284</v>
      </c>
    </row>
    <row r="67" spans="1:6" x14ac:dyDescent="0.2">
      <c r="A67" s="52" t="s">
        <v>389</v>
      </c>
      <c r="B67" s="50" t="s">
        <v>327</v>
      </c>
      <c r="C67" s="49"/>
      <c r="E67" s="148" t="s">
        <v>285</v>
      </c>
      <c r="F67" s="2" t="s">
        <v>286</v>
      </c>
    </row>
    <row r="68" spans="1:6" x14ac:dyDescent="0.2">
      <c r="A68" s="48" t="s">
        <v>200</v>
      </c>
      <c r="B68" s="50" t="s">
        <v>327</v>
      </c>
      <c r="C68" s="49"/>
      <c r="E68" s="148" t="s">
        <v>287</v>
      </c>
      <c r="F68" s="2" t="s">
        <v>288</v>
      </c>
    </row>
    <row r="69" spans="1:6" x14ac:dyDescent="0.2">
      <c r="A69" s="48" t="s">
        <v>201</v>
      </c>
      <c r="B69" s="50" t="s">
        <v>327</v>
      </c>
      <c r="E69" s="148" t="s">
        <v>289</v>
      </c>
      <c r="F69" s="2" t="s">
        <v>290</v>
      </c>
    </row>
    <row r="70" spans="1:6" x14ac:dyDescent="0.2">
      <c r="A70" s="48" t="s">
        <v>202</v>
      </c>
      <c r="B70" s="50" t="s">
        <v>327</v>
      </c>
      <c r="E70" s="148" t="s">
        <v>291</v>
      </c>
      <c r="F70" s="2" t="s">
        <v>292</v>
      </c>
    </row>
    <row r="71" spans="1:6" x14ac:dyDescent="0.2">
      <c r="A71" s="88" t="s">
        <v>425</v>
      </c>
      <c r="B71" s="50" t="s">
        <v>327</v>
      </c>
      <c r="C71" s="45" t="s">
        <v>429</v>
      </c>
      <c r="E71" s="148" t="s">
        <v>293</v>
      </c>
      <c r="F71" s="2" t="s">
        <v>294</v>
      </c>
    </row>
    <row r="72" spans="1:6" x14ac:dyDescent="0.2">
      <c r="A72" s="88" t="s">
        <v>426</v>
      </c>
      <c r="B72" s="50" t="s">
        <v>327</v>
      </c>
      <c r="C72" s="45" t="s">
        <v>429</v>
      </c>
      <c r="E72" s="148" t="s">
        <v>295</v>
      </c>
      <c r="F72" s="2" t="s">
        <v>296</v>
      </c>
    </row>
    <row r="73" spans="1:6" x14ac:dyDescent="0.2">
      <c r="A73" s="88" t="s">
        <v>443</v>
      </c>
      <c r="B73" s="50" t="s">
        <v>327</v>
      </c>
      <c r="C73" s="45" t="s">
        <v>429</v>
      </c>
      <c r="E73" s="148" t="s">
        <v>297</v>
      </c>
      <c r="F73" s="2" t="s">
        <v>298</v>
      </c>
    </row>
    <row r="74" spans="1:6" x14ac:dyDescent="0.2">
      <c r="A74" s="88" t="s">
        <v>427</v>
      </c>
      <c r="B74" s="50" t="s">
        <v>327</v>
      </c>
      <c r="C74" s="45" t="s">
        <v>429</v>
      </c>
      <c r="E74" s="148" t="s">
        <v>299</v>
      </c>
      <c r="F74" s="2" t="s">
        <v>300</v>
      </c>
    </row>
    <row r="75" spans="1:6" x14ac:dyDescent="0.2">
      <c r="A75" s="88" t="s">
        <v>428</v>
      </c>
      <c r="B75" s="50" t="s">
        <v>327</v>
      </c>
      <c r="C75" s="45" t="s">
        <v>429</v>
      </c>
      <c r="E75" s="148" t="s">
        <v>301</v>
      </c>
      <c r="F75" s="2" t="s">
        <v>302</v>
      </c>
    </row>
    <row r="76" spans="1:6" x14ac:dyDescent="0.2">
      <c r="A76" s="88" t="s">
        <v>444</v>
      </c>
      <c r="B76" s="50" t="s">
        <v>327</v>
      </c>
      <c r="C76" s="45" t="s">
        <v>429</v>
      </c>
      <c r="E76" s="148" t="s">
        <v>303</v>
      </c>
      <c r="F76" s="2" t="s">
        <v>304</v>
      </c>
    </row>
    <row r="77" spans="1:6" x14ac:dyDescent="0.2">
      <c r="A77" s="111" t="s">
        <v>461</v>
      </c>
      <c r="B77" s="50">
        <v>400</v>
      </c>
      <c r="C77" s="53"/>
      <c r="E77" s="148" t="s">
        <v>305</v>
      </c>
      <c r="F77" s="2" t="s">
        <v>306</v>
      </c>
    </row>
    <row r="78" spans="1:6" x14ac:dyDescent="0.2">
      <c r="A78" s="48" t="s">
        <v>203</v>
      </c>
      <c r="B78" s="50">
        <v>400</v>
      </c>
      <c r="E78" s="148" t="s">
        <v>116</v>
      </c>
      <c r="F78" s="2" t="s">
        <v>117</v>
      </c>
    </row>
    <row r="79" spans="1:6" x14ac:dyDescent="0.2">
      <c r="A79" s="48" t="s">
        <v>204</v>
      </c>
      <c r="B79" s="48">
        <v>401</v>
      </c>
      <c r="E79" s="148" t="s">
        <v>118</v>
      </c>
      <c r="F79" s="2" t="s">
        <v>119</v>
      </c>
    </row>
    <row r="80" spans="1:6" x14ac:dyDescent="0.2">
      <c r="A80" s="48" t="s">
        <v>205</v>
      </c>
      <c r="B80" s="48">
        <v>402</v>
      </c>
      <c r="E80" s="148" t="s">
        <v>120</v>
      </c>
      <c r="F80" s="2" t="s">
        <v>121</v>
      </c>
    </row>
    <row r="81" spans="1:7" x14ac:dyDescent="0.2">
      <c r="A81" s="48" t="s">
        <v>325</v>
      </c>
      <c r="B81" s="161" t="s">
        <v>327</v>
      </c>
      <c r="C81" s="49"/>
      <c r="E81" s="148" t="s">
        <v>122</v>
      </c>
      <c r="F81" s="2" t="s">
        <v>123</v>
      </c>
    </row>
    <row r="82" spans="1:7" x14ac:dyDescent="0.2">
      <c r="A82" s="48" t="s">
        <v>324</v>
      </c>
      <c r="B82" s="161" t="s">
        <v>327</v>
      </c>
      <c r="E82" s="148" t="s">
        <v>124</v>
      </c>
      <c r="F82" s="2" t="s">
        <v>125</v>
      </c>
    </row>
    <row r="83" spans="1:7" x14ac:dyDescent="0.2">
      <c r="A83" s="52" t="s">
        <v>206</v>
      </c>
      <c r="B83" s="50" t="s">
        <v>327</v>
      </c>
      <c r="E83" s="148" t="s">
        <v>126</v>
      </c>
      <c r="F83" s="2" t="s">
        <v>127</v>
      </c>
    </row>
    <row r="84" spans="1:7" x14ac:dyDescent="0.2">
      <c r="A84" s="48" t="s">
        <v>207</v>
      </c>
      <c r="B84" s="48">
        <v>600</v>
      </c>
      <c r="E84" s="148" t="s">
        <v>128</v>
      </c>
      <c r="F84" s="2" t="s">
        <v>307</v>
      </c>
    </row>
    <row r="85" spans="1:7" x14ac:dyDescent="0.2">
      <c r="A85" s="48" t="s">
        <v>208</v>
      </c>
      <c r="B85" s="48">
        <v>601</v>
      </c>
      <c r="E85" s="148" t="s">
        <v>129</v>
      </c>
      <c r="F85" s="2" t="s">
        <v>130</v>
      </c>
    </row>
    <row r="86" spans="1:7" x14ac:dyDescent="0.2">
      <c r="A86" s="48" t="s">
        <v>209</v>
      </c>
      <c r="B86" s="48">
        <v>602</v>
      </c>
      <c r="E86" s="148" t="s">
        <v>308</v>
      </c>
      <c r="F86" s="2" t="s">
        <v>309</v>
      </c>
    </row>
    <row r="87" spans="1:7" x14ac:dyDescent="0.2">
      <c r="A87" s="48" t="s">
        <v>210</v>
      </c>
      <c r="B87" s="48">
        <v>603</v>
      </c>
      <c r="E87" s="148" t="s">
        <v>131</v>
      </c>
      <c r="F87" s="2" t="s">
        <v>132</v>
      </c>
    </row>
    <row r="88" spans="1:7" x14ac:dyDescent="0.2">
      <c r="A88" s="48" t="s">
        <v>211</v>
      </c>
      <c r="B88" s="48">
        <v>604</v>
      </c>
      <c r="E88" s="148" t="s">
        <v>133</v>
      </c>
      <c r="F88" s="2" t="s">
        <v>134</v>
      </c>
    </row>
    <row r="89" spans="1:7" x14ac:dyDescent="0.2">
      <c r="A89" s="48" t="s">
        <v>212</v>
      </c>
      <c r="B89" s="48">
        <v>605</v>
      </c>
      <c r="E89" s="148" t="s">
        <v>310</v>
      </c>
      <c r="F89" s="2" t="s">
        <v>311</v>
      </c>
    </row>
    <row r="90" spans="1:7" x14ac:dyDescent="0.2">
      <c r="A90" s="48" t="s">
        <v>213</v>
      </c>
      <c r="B90" s="48">
        <v>606</v>
      </c>
      <c r="E90" s="148" t="s">
        <v>137</v>
      </c>
      <c r="F90" s="2" t="s">
        <v>138</v>
      </c>
    </row>
    <row r="91" spans="1:7" x14ac:dyDescent="0.2">
      <c r="A91" s="48" t="s">
        <v>214</v>
      </c>
      <c r="B91" s="48">
        <v>607</v>
      </c>
      <c r="E91" s="148" t="s">
        <v>329</v>
      </c>
      <c r="F91" s="2" t="s">
        <v>37</v>
      </c>
      <c r="G91" s="32"/>
    </row>
    <row r="92" spans="1:7" x14ac:dyDescent="0.2">
      <c r="A92" s="48" t="s">
        <v>215</v>
      </c>
      <c r="B92" s="48">
        <v>608</v>
      </c>
    </row>
    <row r="93" spans="1:7" x14ac:dyDescent="0.2">
      <c r="A93" s="52" t="s">
        <v>390</v>
      </c>
      <c r="B93" s="48">
        <v>600</v>
      </c>
      <c r="F93" s="32"/>
    </row>
    <row r="94" spans="1:7" x14ac:dyDescent="0.2">
      <c r="A94" s="48" t="s">
        <v>326</v>
      </c>
      <c r="B94" s="50" t="s">
        <v>327</v>
      </c>
    </row>
    <row r="95" spans="1:7" s="32" customFormat="1" ht="38.25" x14ac:dyDescent="0.2">
      <c r="A95" s="48" t="s">
        <v>216</v>
      </c>
      <c r="B95" s="48">
        <v>700</v>
      </c>
      <c r="C95" s="51" t="s">
        <v>539</v>
      </c>
      <c r="E95" s="149"/>
      <c r="F95"/>
      <c r="G95"/>
    </row>
    <row r="96" spans="1:7" x14ac:dyDescent="0.2">
      <c r="A96" s="48" t="s">
        <v>217</v>
      </c>
      <c r="B96" s="48">
        <v>701</v>
      </c>
    </row>
    <row r="97" spans="1:3" x14ac:dyDescent="0.2">
      <c r="A97" s="48" t="s">
        <v>218</v>
      </c>
      <c r="B97" s="48">
        <v>702</v>
      </c>
      <c r="C97" s="51"/>
    </row>
    <row r="98" spans="1:3" x14ac:dyDescent="0.2">
      <c r="A98" s="48" t="s">
        <v>219</v>
      </c>
      <c r="B98" s="48">
        <v>703</v>
      </c>
    </row>
    <row r="99" spans="1:3" x14ac:dyDescent="0.2">
      <c r="A99" s="48" t="s">
        <v>220</v>
      </c>
      <c r="B99" s="48">
        <v>704</v>
      </c>
      <c r="C99" s="53" t="s">
        <v>430</v>
      </c>
    </row>
    <row r="100" spans="1:3" x14ac:dyDescent="0.2">
      <c r="A100" s="48" t="s">
        <v>221</v>
      </c>
      <c r="B100" s="48">
        <v>705</v>
      </c>
      <c r="C100" s="53" t="s">
        <v>430</v>
      </c>
    </row>
    <row r="101" spans="1:3" x14ac:dyDescent="0.2">
      <c r="A101" s="48" t="s">
        <v>222</v>
      </c>
      <c r="B101" s="48">
        <v>706</v>
      </c>
    </row>
    <row r="102" spans="1:3" x14ac:dyDescent="0.2">
      <c r="A102" s="52" t="s">
        <v>391</v>
      </c>
      <c r="B102" s="50" t="s">
        <v>327</v>
      </c>
    </row>
    <row r="103" spans="1:3" x14ac:dyDescent="0.2">
      <c r="A103" s="48" t="s">
        <v>223</v>
      </c>
      <c r="B103" s="48">
        <v>708</v>
      </c>
    </row>
    <row r="104" spans="1:3" ht="38.25" x14ac:dyDescent="0.2">
      <c r="A104" s="48" t="s">
        <v>224</v>
      </c>
      <c r="B104" s="48">
        <v>800</v>
      </c>
      <c r="C104" s="51" t="s">
        <v>379</v>
      </c>
    </row>
    <row r="105" spans="1:3" x14ac:dyDescent="0.2">
      <c r="A105" s="52" t="s">
        <v>225</v>
      </c>
      <c r="B105" s="50" t="s">
        <v>327</v>
      </c>
    </row>
    <row r="107" spans="1:3" x14ac:dyDescent="0.2">
      <c r="C107" s="51"/>
    </row>
  </sheetData>
  <sortState ref="A2:B82">
    <sortCondition ref="A2"/>
  </sortState>
  <mergeCells count="3">
    <mergeCell ref="A1:B1"/>
    <mergeCell ref="E1:F1"/>
    <mergeCell ref="H1:I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6E964-1101-4F68-BCAA-1003317B02DD}">
  <dimension ref="A1:F10"/>
  <sheetViews>
    <sheetView workbookViewId="0">
      <selection activeCell="F12" sqref="F12"/>
    </sheetView>
  </sheetViews>
  <sheetFormatPr defaultRowHeight="12.75" x14ac:dyDescent="0.2"/>
  <cols>
    <col min="1" max="1" width="12.28515625" bestFit="1" customWidth="1"/>
    <col min="2" max="2" width="10.42578125" bestFit="1" customWidth="1"/>
    <col min="3" max="3" width="10.42578125" style="32" customWidth="1"/>
    <col min="4" max="4" width="18.7109375" bestFit="1" customWidth="1"/>
    <col min="5" max="5" width="10.7109375" bestFit="1" customWidth="1"/>
    <col min="6" max="6" width="51.7109375" style="66" customWidth="1"/>
  </cols>
  <sheetData>
    <row r="1" spans="1:6" x14ac:dyDescent="0.2">
      <c r="A1" t="s">
        <v>516</v>
      </c>
      <c r="B1" t="s">
        <v>519</v>
      </c>
      <c r="C1" s="32" t="s">
        <v>520</v>
      </c>
      <c r="D1" t="s">
        <v>517</v>
      </c>
      <c r="E1" t="s">
        <v>518</v>
      </c>
      <c r="F1" s="66" t="s">
        <v>343</v>
      </c>
    </row>
    <row r="2" spans="1:6" ht="25.5" x14ac:dyDescent="0.2">
      <c r="A2" t="s">
        <v>498</v>
      </c>
      <c r="B2" s="151">
        <v>42705</v>
      </c>
      <c r="C2" s="32" t="s">
        <v>488</v>
      </c>
      <c r="D2" t="s">
        <v>521</v>
      </c>
      <c r="F2" s="66" t="s">
        <v>530</v>
      </c>
    </row>
    <row r="3" spans="1:6" x14ac:dyDescent="0.2">
      <c r="A3" t="s">
        <v>508</v>
      </c>
      <c r="B3" s="151">
        <v>42552</v>
      </c>
      <c r="C3" s="32" t="s">
        <v>488</v>
      </c>
      <c r="D3" t="s">
        <v>521</v>
      </c>
      <c r="F3" s="66" t="s">
        <v>528</v>
      </c>
    </row>
    <row r="4" spans="1:6" x14ac:dyDescent="0.2">
      <c r="A4" t="s">
        <v>509</v>
      </c>
      <c r="B4" s="151">
        <v>42705</v>
      </c>
      <c r="C4" s="32" t="s">
        <v>488</v>
      </c>
      <c r="D4" s="32" t="s">
        <v>521</v>
      </c>
      <c r="F4" s="66" t="s">
        <v>529</v>
      </c>
    </row>
    <row r="5" spans="1:6" ht="51" x14ac:dyDescent="0.2">
      <c r="A5" t="s">
        <v>507</v>
      </c>
      <c r="C5" s="32" t="s">
        <v>526</v>
      </c>
      <c r="D5" t="s">
        <v>527</v>
      </c>
      <c r="F5" s="66" t="s">
        <v>525</v>
      </c>
    </row>
    <row r="6" spans="1:6" ht="25.5" x14ac:dyDescent="0.2">
      <c r="A6" t="s">
        <v>510</v>
      </c>
      <c r="B6" s="151">
        <v>42705</v>
      </c>
      <c r="C6" s="32" t="s">
        <v>488</v>
      </c>
      <c r="D6" t="s">
        <v>521</v>
      </c>
      <c r="F6" s="66" t="s">
        <v>530</v>
      </c>
    </row>
    <row r="7" spans="1:6" ht="51" x14ac:dyDescent="0.2">
      <c r="A7" t="s">
        <v>325</v>
      </c>
      <c r="E7" t="s">
        <v>522</v>
      </c>
      <c r="F7" s="66" t="s">
        <v>523</v>
      </c>
    </row>
    <row r="8" spans="1:6" x14ac:dyDescent="0.2">
      <c r="A8" t="s">
        <v>511</v>
      </c>
      <c r="F8" s="66" t="s">
        <v>524</v>
      </c>
    </row>
    <row r="9" spans="1:6" x14ac:dyDescent="0.2">
      <c r="A9" t="s">
        <v>205</v>
      </c>
      <c r="E9" t="s">
        <v>522</v>
      </c>
    </row>
    <row r="10" spans="1:6" x14ac:dyDescent="0.2">
      <c r="A10" s="33" t="s">
        <v>391</v>
      </c>
      <c r="B10" s="156">
        <v>42826</v>
      </c>
      <c r="C10" s="33" t="s">
        <v>538</v>
      </c>
      <c r="F10" s="157" t="s">
        <v>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#s for Economist</vt:lpstr>
      <vt:lpstr>Version Update</vt:lpstr>
      <vt:lpstr>Summary of Changes</vt:lpstr>
      <vt:lpstr>Requested #s</vt:lpstr>
      <vt:lpstr>Cost Pool</vt:lpstr>
      <vt:lpstr>Charges</vt:lpstr>
      <vt:lpstr>Model</vt:lpstr>
      <vt:lpstr>Lookup Values</vt:lpstr>
      <vt:lpstr>Fund Notes &amp; Changes</vt:lpstr>
      <vt:lpstr>$ FY 2012-13</vt:lpstr>
      <vt:lpstr>Pos FY 2012-13</vt:lpstr>
      <vt:lpstr>$ FY 2013-14</vt:lpstr>
      <vt:lpstr>Pos FY 2013-14</vt:lpstr>
      <vt:lpstr>$ FY 2014-15</vt:lpstr>
      <vt:lpstr>Pos FY 2014-15</vt:lpstr>
      <vt:lpstr>$ FY 2015-16</vt:lpstr>
      <vt:lpstr>Pos FY 2015-16</vt:lpstr>
      <vt:lpstr>$ FY 2016-17</vt:lpstr>
      <vt:lpstr>Pos FY 2016-17</vt:lpstr>
      <vt:lpstr>$ FY 2017-18</vt:lpstr>
      <vt:lpstr>Pos FY 2017-18</vt:lpstr>
      <vt:lpstr>Bureaus</vt:lpstr>
      <vt:lpstr>Cost_Pool</vt:lpstr>
      <vt:lpstr>Crosswalk</vt:lpstr>
      <vt:lpstr>Funds</vt:lpstr>
      <vt:lpstr>FY2012_13</vt:lpstr>
      <vt:lpstr>FY2012_13P</vt:lpstr>
      <vt:lpstr>FY2013_14</vt:lpstr>
      <vt:lpstr>FY2013_14P</vt:lpstr>
      <vt:lpstr>FY2014_15</vt:lpstr>
      <vt:lpstr>FY2014_15P</vt:lpstr>
      <vt:lpstr>FY2015_16</vt:lpstr>
      <vt:lpstr>FY2015_16P</vt:lpstr>
      <vt:lpstr>FY2016_17</vt:lpstr>
      <vt:lpstr>FY2016_17P</vt:lpstr>
      <vt:lpstr>FY2017_18</vt:lpstr>
      <vt:lpstr>FY2017_18P</vt:lpstr>
      <vt:lpstr>Model</vt:lpstr>
      <vt:lpstr>'Summary of Changes'!Print_Area</vt:lpstr>
      <vt:lpstr>'Version Update'!Print_Area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Patton, Jeramy</dc:creator>
  <cp:lastModifiedBy>Eden, Jessica</cp:lastModifiedBy>
  <cp:lastPrinted>2018-12-19T21:28:31Z</cp:lastPrinted>
  <dcterms:created xsi:type="dcterms:W3CDTF">2013-06-05T21:02:07Z</dcterms:created>
  <dcterms:modified xsi:type="dcterms:W3CDTF">2018-12-19T21:33:24Z</dcterms:modified>
</cp:coreProperties>
</file>